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2"/>
  <workbookPr defaultThemeVersion="124226"/>
  <xr:revisionPtr revIDLastSave="0" documentId="11_DEF53ABAAD09D207DAA7178C6F92813602FDF112" xr6:coauthVersionLast="40" xr6:coauthVersionMax="40" xr10:uidLastSave="{00000000-0000-0000-0000-000000000000}"/>
  <bookViews>
    <workbookView xWindow="0" yWindow="-405" windowWidth="19830" windowHeight="8355" xr2:uid="{00000000-000D-0000-FFFF-FFFF00000000}"/>
  </bookViews>
  <sheets>
    <sheet name="Master Tracker" sheetId="1" r:id="rId1"/>
    <sheet name="Sample" sheetId="2" r:id="rId2"/>
    <sheet name="N358BA" sheetId="3" r:id="rId3"/>
    <sheet name="N427BA" sheetId="4" r:id="rId4"/>
    <sheet name="N430BA" sheetId="5" r:id="rId5"/>
    <sheet name="Annual Duration" sheetId="6" r:id="rId6"/>
  </sheets>
  <definedNames>
    <definedName name="_xlnm.Print_Area" localSheetId="2">N358BA!$A$1:$G$13</definedName>
    <definedName name="_xlnm.Print_Area" localSheetId="3">N427BA!$A$1:$G$13</definedName>
    <definedName name="_xlnm.Print_Area" localSheetId="4">N430BA!$A$1:$G$13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0" i="1" l="1"/>
  <c r="I5" i="1"/>
  <c r="I6" i="1"/>
  <c r="I7" i="1"/>
  <c r="I8" i="1"/>
  <c r="I9" i="1"/>
  <c r="I10" i="1"/>
  <c r="I11" i="1"/>
  <c r="I12" i="1"/>
  <c r="I51" i="1"/>
  <c r="G50" i="1"/>
  <c r="F50" i="1"/>
  <c r="G5" i="1"/>
  <c r="G6" i="1"/>
  <c r="G7" i="1"/>
  <c r="G8" i="1"/>
  <c r="G9" i="1"/>
  <c r="G10" i="1"/>
  <c r="G11" i="1"/>
  <c r="G12" i="1"/>
  <c r="F51" i="1"/>
  <c r="D2" i="6"/>
  <c r="D3" i="6"/>
  <c r="D4" i="6"/>
  <c r="D5" i="6"/>
  <c r="D7" i="6"/>
  <c r="D11" i="6"/>
  <c r="O82" i="1"/>
  <c r="R5" i="1"/>
  <c r="S12" i="1"/>
  <c r="S11" i="1"/>
  <c r="S10" i="1"/>
  <c r="S9" i="1"/>
  <c r="S8" i="1"/>
  <c r="S7" i="1"/>
  <c r="S6" i="1"/>
  <c r="S5" i="1"/>
  <c r="R12" i="1"/>
  <c r="R11" i="1"/>
  <c r="R10" i="1"/>
  <c r="R9" i="1"/>
  <c r="R8" i="1"/>
  <c r="R7" i="1"/>
  <c r="R6" i="1"/>
  <c r="S4" i="1"/>
  <c r="R4" i="1"/>
  <c r="K74" i="1"/>
  <c r="E14" i="3"/>
  <c r="B13" i="3"/>
  <c r="E55" i="1"/>
  <c r="G12" i="3"/>
  <c r="D12" i="3"/>
  <c r="B12" i="3"/>
  <c r="E50" i="1"/>
  <c r="G11" i="3"/>
  <c r="D11" i="3"/>
  <c r="C11" i="3"/>
  <c r="B11" i="3"/>
  <c r="C45" i="1"/>
  <c r="E10" i="3"/>
  <c r="D10" i="3"/>
  <c r="C10" i="3"/>
  <c r="B10" i="3"/>
  <c r="E40" i="1"/>
  <c r="G9" i="3"/>
  <c r="D9" i="3"/>
  <c r="C9" i="3"/>
  <c r="B9" i="3"/>
  <c r="C35" i="1"/>
  <c r="E8" i="3"/>
  <c r="D8" i="3"/>
  <c r="C8" i="3"/>
  <c r="B8" i="3"/>
  <c r="E30" i="1"/>
  <c r="G6" i="3"/>
  <c r="D6" i="3"/>
  <c r="B6" i="3"/>
  <c r="E25" i="1"/>
  <c r="G5" i="3"/>
  <c r="D5" i="3"/>
  <c r="C5" i="3"/>
  <c r="B5" i="3"/>
  <c r="E4" i="3"/>
  <c r="B4" i="3"/>
  <c r="C74" i="1"/>
  <c r="J69" i="1"/>
  <c r="F69" i="1"/>
  <c r="B69" i="1"/>
  <c r="J64" i="1"/>
  <c r="J65" i="1"/>
  <c r="K60" i="1"/>
  <c r="G60" i="1"/>
  <c r="E13" i="3"/>
  <c r="C55" i="1"/>
  <c r="E12" i="3"/>
  <c r="C50" i="1"/>
  <c r="E11" i="3"/>
  <c r="B50" i="1"/>
  <c r="F11" i="3"/>
  <c r="M45" i="1"/>
  <c r="K45" i="1"/>
  <c r="J45" i="1"/>
  <c r="F10" i="5"/>
  <c r="I45" i="1"/>
  <c r="G45" i="1"/>
  <c r="G40" i="1"/>
  <c r="G35" i="1"/>
  <c r="G30" i="1"/>
  <c r="G25" i="1"/>
  <c r="G82" i="1"/>
  <c r="E2" i="4"/>
  <c r="F45" i="1"/>
  <c r="E45" i="1"/>
  <c r="G10" i="3"/>
  <c r="B45" i="1"/>
  <c r="F10" i="3"/>
  <c r="M40" i="1"/>
  <c r="K40" i="1"/>
  <c r="K35" i="1"/>
  <c r="K30" i="1"/>
  <c r="K25" i="1"/>
  <c r="K82" i="1"/>
  <c r="E2" i="5"/>
  <c r="J40" i="1"/>
  <c r="I40" i="1"/>
  <c r="G9" i="4"/>
  <c r="F40" i="1"/>
  <c r="C40" i="1"/>
  <c r="E9" i="3"/>
  <c r="B40" i="1"/>
  <c r="F9" i="3"/>
  <c r="M35" i="1"/>
  <c r="J35" i="1"/>
  <c r="F8" i="5"/>
  <c r="I35" i="1"/>
  <c r="E8" i="4"/>
  <c r="F35" i="1"/>
  <c r="E35" i="1"/>
  <c r="G8" i="3"/>
  <c r="B35" i="1"/>
  <c r="F8" i="3"/>
  <c r="M30" i="1"/>
  <c r="I30" i="1"/>
  <c r="G6" i="4"/>
  <c r="F29" i="1"/>
  <c r="F30" i="1"/>
  <c r="C30" i="1"/>
  <c r="E6" i="3"/>
  <c r="J29" i="1"/>
  <c r="J30" i="1"/>
  <c r="F6" i="5"/>
  <c r="B29" i="1"/>
  <c r="C6" i="3"/>
  <c r="M25" i="1"/>
  <c r="J25" i="1"/>
  <c r="I25" i="1"/>
  <c r="G5" i="4"/>
  <c r="F25" i="1"/>
  <c r="C25" i="1"/>
  <c r="E5" i="3"/>
  <c r="B25" i="1"/>
  <c r="F5" i="3"/>
  <c r="M19" i="1"/>
  <c r="M20" i="1"/>
  <c r="I19" i="1"/>
  <c r="I20" i="1"/>
  <c r="G4" i="4"/>
  <c r="E19" i="1"/>
  <c r="E20" i="1"/>
  <c r="G4" i="3"/>
  <c r="N19" i="1"/>
  <c r="J19" i="1"/>
  <c r="J20" i="1"/>
  <c r="F4" i="5"/>
  <c r="F19" i="1"/>
  <c r="F20" i="1"/>
  <c r="F4" i="4"/>
  <c r="D4" i="3"/>
  <c r="B19" i="1"/>
  <c r="C4" i="3"/>
  <c r="Q5" i="1"/>
  <c r="Q6" i="1"/>
  <c r="Q7" i="1"/>
  <c r="Q8" i="1"/>
  <c r="Q9" i="1"/>
  <c r="Q10" i="1"/>
  <c r="Q11" i="1"/>
  <c r="Q12" i="1"/>
  <c r="O5" i="1"/>
  <c r="O6" i="1"/>
  <c r="O7" i="1"/>
  <c r="O8" i="1"/>
  <c r="O9" i="1"/>
  <c r="O10" i="1"/>
  <c r="O11" i="1"/>
  <c r="O12" i="1"/>
  <c r="M5" i="1"/>
  <c r="M6" i="1"/>
  <c r="M7" i="1"/>
  <c r="M8" i="1"/>
  <c r="M9" i="1"/>
  <c r="M10" i="1"/>
  <c r="M11" i="1"/>
  <c r="M12" i="1"/>
  <c r="K5" i="1"/>
  <c r="K6" i="1"/>
  <c r="K7" i="1"/>
  <c r="K8" i="1"/>
  <c r="K9" i="1"/>
  <c r="K10" i="1"/>
  <c r="K11" i="1"/>
  <c r="K12" i="1"/>
  <c r="E5" i="1"/>
  <c r="E6" i="1"/>
  <c r="E7" i="1"/>
  <c r="E8" i="1"/>
  <c r="E9" i="1"/>
  <c r="E10" i="1"/>
  <c r="E11" i="1"/>
  <c r="E12" i="1"/>
  <c r="C5" i="1"/>
  <c r="C6" i="1"/>
  <c r="C7" i="1"/>
  <c r="C8" i="1"/>
  <c r="C9" i="1"/>
  <c r="C10" i="1"/>
  <c r="C11" i="1"/>
  <c r="C12" i="1"/>
  <c r="E14" i="5"/>
  <c r="E13" i="5"/>
  <c r="B13" i="5"/>
  <c r="G10" i="5"/>
  <c r="E10" i="5"/>
  <c r="D10" i="5"/>
  <c r="C10" i="5"/>
  <c r="B10" i="5"/>
  <c r="G9" i="5"/>
  <c r="F9" i="5"/>
  <c r="E9" i="5"/>
  <c r="D9" i="5"/>
  <c r="C9" i="5"/>
  <c r="B9" i="5"/>
  <c r="G8" i="5"/>
  <c r="E8" i="5"/>
  <c r="D8" i="5"/>
  <c r="C8" i="5"/>
  <c r="B8" i="5"/>
  <c r="G6" i="5"/>
  <c r="E6" i="5"/>
  <c r="D6" i="5"/>
  <c r="C6" i="5"/>
  <c r="B6" i="5"/>
  <c r="G5" i="5"/>
  <c r="F5" i="5"/>
  <c r="E5" i="5"/>
  <c r="D5" i="5"/>
  <c r="C5" i="5"/>
  <c r="B5" i="5"/>
  <c r="G4" i="5"/>
  <c r="E4" i="5"/>
  <c r="D4" i="5"/>
  <c r="C4" i="5"/>
  <c r="B4" i="5"/>
  <c r="E14" i="4"/>
  <c r="E13" i="4"/>
  <c r="B13" i="4"/>
  <c r="G10" i="4"/>
  <c r="F10" i="4"/>
  <c r="D10" i="4"/>
  <c r="C10" i="4"/>
  <c r="B10" i="4"/>
  <c r="F9" i="4"/>
  <c r="E9" i="4"/>
  <c r="D9" i="4"/>
  <c r="C9" i="4"/>
  <c r="B9" i="4"/>
  <c r="G8" i="4"/>
  <c r="F8" i="4"/>
  <c r="D8" i="4"/>
  <c r="C8" i="4"/>
  <c r="B8" i="4"/>
  <c r="F6" i="4"/>
  <c r="E6" i="4"/>
  <c r="D6" i="4"/>
  <c r="C6" i="4"/>
  <c r="B6" i="4"/>
  <c r="F5" i="4"/>
  <c r="E5" i="4"/>
  <c r="D5" i="4"/>
  <c r="C5" i="4"/>
  <c r="B5" i="4"/>
  <c r="E4" i="4"/>
  <c r="D4" i="4"/>
  <c r="B4" i="4"/>
  <c r="C4" i="4"/>
  <c r="E10" i="4"/>
  <c r="B30" i="1"/>
  <c r="F6" i="3"/>
  <c r="J82" i="1"/>
  <c r="F2" i="5"/>
  <c r="C82" i="1"/>
  <c r="E2" i="3"/>
  <c r="B20" i="1"/>
  <c r="F4" i="3"/>
  <c r="B82" i="1"/>
  <c r="F2" i="3"/>
  <c r="I41" i="1"/>
  <c r="I31" i="1"/>
  <c r="I26" i="1"/>
  <c r="I14" i="1"/>
  <c r="I46" i="1"/>
  <c r="I36" i="1"/>
  <c r="I21" i="1"/>
  <c r="F46" i="1"/>
  <c r="F70" i="1"/>
  <c r="F31" i="1"/>
  <c r="G14" i="1"/>
  <c r="F21" i="1"/>
  <c r="F36" i="1"/>
  <c r="F41" i="1"/>
  <c r="F26" i="1"/>
  <c r="E46" i="1"/>
  <c r="E41" i="1"/>
  <c r="E36" i="1"/>
  <c r="E31" i="1"/>
  <c r="E21" i="1"/>
  <c r="E56" i="1"/>
  <c r="E26" i="1"/>
  <c r="E14" i="1"/>
  <c r="E51" i="1"/>
  <c r="B51" i="1"/>
  <c r="B41" i="1"/>
  <c r="C14" i="1"/>
  <c r="B21" i="1"/>
  <c r="B70" i="1"/>
  <c r="B36" i="1"/>
  <c r="B26" i="1"/>
  <c r="B46" i="1"/>
  <c r="B31" i="1"/>
  <c r="M21" i="1"/>
  <c r="M36" i="1"/>
  <c r="M41" i="1"/>
  <c r="M31" i="1"/>
  <c r="M46" i="1"/>
  <c r="M26" i="1"/>
  <c r="M14" i="1"/>
  <c r="J70" i="1"/>
  <c r="J36" i="1"/>
  <c r="J46" i="1"/>
  <c r="J31" i="1"/>
  <c r="J41" i="1"/>
  <c r="J26" i="1"/>
  <c r="K14" i="1"/>
  <c r="J21" i="1"/>
  <c r="F82" i="1"/>
  <c r="F2" i="4"/>
</calcChain>
</file>

<file path=xl/sharedStrings.xml><?xml version="1.0" encoding="utf-8"?>
<sst xmlns="http://schemas.openxmlformats.org/spreadsheetml/2006/main" count="253" uniqueCount="91">
  <si>
    <t>Monthly</t>
  </si>
  <si>
    <t>Total</t>
  </si>
  <si>
    <t>N358BA</t>
  </si>
  <si>
    <t>N427BA</t>
  </si>
  <si>
    <t>N430BA</t>
  </si>
  <si>
    <t>N7539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</si>
  <si>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</si>
  <si>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</si>
  <si>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</si>
  <si>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</si>
  <si>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</si>
  <si>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</si>
  <si>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</si>
  <si>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</si>
  <si>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August</t>
  </si>
  <si>
    <t>Phase 2 Inspection</t>
  </si>
  <si>
    <t>Last Performed</t>
  </si>
  <si>
    <t>Next Due</t>
  </si>
  <si>
    <t>Phase 3 Inspection</t>
  </si>
  <si>
    <t xml:space="preserve"> </t>
  </si>
  <si>
    <t>Phase 1 Inspection</t>
  </si>
  <si>
    <t>NA</t>
  </si>
  <si>
    <t>Required  Maintenance</t>
  </si>
  <si>
    <t>Date Performed</t>
  </si>
  <si>
    <t>Hours Performed</t>
  </si>
  <si>
    <t>Flights Performed</t>
  </si>
  <si>
    <t>Date Due</t>
  </si>
  <si>
    <t>Hours Due</t>
  </si>
  <si>
    <t>Flights Due</t>
  </si>
  <si>
    <t>Phase 3 inspection</t>
  </si>
  <si>
    <t>Gadringer safety harness</t>
  </si>
  <si>
    <t>2000 ± 100 hours, or 10,000 ± 500 take offs , 16 years</t>
  </si>
  <si>
    <t>4000 hours, 16 years</t>
  </si>
  <si>
    <t>12 years</t>
  </si>
  <si>
    <t>Inspections</t>
  </si>
  <si>
    <t>Life Limited Parts</t>
  </si>
  <si>
    <t>Interval</t>
  </si>
  <si>
    <t>100 ± 10 hours, or 500 ± 40 take offs , 1 year</t>
  </si>
  <si>
    <t>500 ± 30 hours, or 3,000 ± 180 take offs , 8 years</t>
  </si>
  <si>
    <t>1000 ± 50 hours, or 5,000 ± 250 take offs , 16 years</t>
  </si>
  <si>
    <t>Overhaul bottom tow release</t>
  </si>
  <si>
    <t>2000 take offs, 4 years</t>
  </si>
  <si>
    <t>Replace Rudder Control Cables</t>
  </si>
  <si>
    <t>Monthly Hours</t>
  </si>
  <si>
    <t>Total Hours</t>
  </si>
  <si>
    <t>Monthly Flights</t>
  </si>
  <si>
    <t>Total Flights</t>
  </si>
  <si>
    <t>Remaining</t>
  </si>
  <si>
    <t>Glider Flight Hours, Flights 2018</t>
  </si>
  <si>
    <t>Replace Rudder Cables</t>
  </si>
  <si>
    <t>Repack Landing Gear Strut</t>
  </si>
  <si>
    <t>Replace Instrument Hoses</t>
  </si>
  <si>
    <t>Overhaul bottom release</t>
  </si>
  <si>
    <t>Not Installed</t>
  </si>
  <si>
    <t>Repack strut</t>
  </si>
  <si>
    <t>Replace instrument hoses</t>
  </si>
  <si>
    <t>Replace bottom tow release cable</t>
  </si>
  <si>
    <t>N427BA                                                                 Required  Maintenance</t>
  </si>
  <si>
    <t>N430BA                                                                 Required  Maintenance</t>
  </si>
  <si>
    <t>N358BA                                                                 Required  Maintenance</t>
  </si>
  <si>
    <t>Registration Certificate</t>
  </si>
  <si>
    <t>5 years</t>
  </si>
  <si>
    <t>AD 04-25-17 Elevator Rocker Balance Beam Dye Penetrant Magnaflux Inspection</t>
  </si>
  <si>
    <t>AD 11-02-08 Cracks in Horiz Stab</t>
  </si>
  <si>
    <t>AD 08-26-12 Control Bridge Inspection</t>
  </si>
  <si>
    <t>AD 10-15-05 Stabilizer Elevator Inner Hinges</t>
  </si>
  <si>
    <t>NEXT SERVICE DUE</t>
  </si>
  <si>
    <t xml:space="preserve">NA by replacement of affected part </t>
  </si>
  <si>
    <t>NA by replacement of affected part</t>
  </si>
  <si>
    <t>See entry 3/26/2005 488.8</t>
  </si>
  <si>
    <t>Not recurrent</t>
  </si>
  <si>
    <t>NEXT DUE INSPECTION OR PARTS</t>
  </si>
  <si>
    <t>All Aircraft</t>
  </si>
  <si>
    <t>NA different manufacturer</t>
  </si>
  <si>
    <t>Replace Gadringer safety harness belts</t>
  </si>
  <si>
    <t>Replace tow cables</t>
  </si>
  <si>
    <t>Aircraft</t>
  </si>
  <si>
    <t>Date Down</t>
  </si>
  <si>
    <t>Date Up</t>
  </si>
  <si>
    <t>Shop</t>
  </si>
  <si>
    <t>Notes</t>
  </si>
  <si>
    <t>N112CP</t>
  </si>
  <si>
    <t>Twin City</t>
  </si>
  <si>
    <t>Days Down</t>
  </si>
  <si>
    <t>Cracked frame, cracked fuel tank filler neck</t>
  </si>
  <si>
    <t>N136CP</t>
  </si>
  <si>
    <t>N5204E</t>
  </si>
  <si>
    <t>BP Air</t>
  </si>
  <si>
    <t>Crack in bulkhead</t>
  </si>
  <si>
    <t>AVERAGE</t>
  </si>
  <si>
    <t>Annual 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</si>
</sst>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131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0" xfId="0" applyFill="1" applyBorder="1"/>
    <xf numFmtId="14" fontId="0" fillId="0" borderId="1" xfId="0" applyNumberFormat="1" applyBorder="1"/>
    <xf numFmtId="0" fontId="0" fillId="0" borderId="0" xfId="0" applyFill="1"/>
    <xf numFmtId="0" fontId="1" fillId="2" borderId="0" xfId="0" applyFont="1" applyFill="1"/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4" fontId="0" fillId="0" borderId="1" xfId="0" applyNumberFormat="1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0" fillId="0" borderId="1" xfId="0" applyBorder="1" applyAlignment="1"/>
    <xf numFmtId="0" fontId="0" fillId="0" borderId="0" xfId="0" applyBorder="1" applyAlignment="1"/>
    <xf numFmtId="0" fontId="1" fillId="2" borderId="1" xfId="0" applyFont="1" applyFill="1" applyBorder="1" applyAlignment="1"/>
    <xf numFmtId="0" fontId="0" fillId="2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0" xfId="0" applyFill="1" applyBorder="1" applyAlignment="1"/>
    <xf numFmtId="0" fontId="0" fillId="0" borderId="2" xfId="0" applyBorder="1"/>
    <xf numFmtId="0" fontId="1" fillId="0" borderId="2" xfId="0" applyFont="1" applyBorder="1"/>
    <xf numFmtId="0" fontId="0" fillId="2" borderId="0" xfId="0" applyFill="1"/>
    <xf numFmtId="0" fontId="1" fillId="2" borderId="2" xfId="0" applyFont="1" applyFill="1" applyBorder="1"/>
    <xf numFmtId="0" fontId="0" fillId="2" borderId="2" xfId="0" applyFill="1" applyBorder="1"/>
    <xf numFmtId="0" fontId="1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3" fontId="0" fillId="2" borderId="0" xfId="0" applyNumberFormat="1" applyFill="1"/>
    <xf numFmtId="3" fontId="0" fillId="0" borderId="0" xfId="0" applyNumberFormat="1"/>
    <xf numFmtId="3" fontId="1" fillId="2" borderId="0" xfId="0" applyNumberFormat="1" applyFont="1" applyFill="1"/>
    <xf numFmtId="3" fontId="0" fillId="2" borderId="3" xfId="0" applyNumberFormat="1" applyFill="1" applyBorder="1"/>
    <xf numFmtId="3" fontId="1" fillId="0" borderId="0" xfId="0" applyNumberFormat="1" applyFont="1"/>
    <xf numFmtId="3" fontId="2" fillId="0" borderId="0" xfId="0" applyNumberFormat="1" applyFont="1"/>
    <xf numFmtId="3" fontId="0" fillId="0" borderId="1" xfId="0" applyNumberFormat="1" applyBorder="1"/>
    <xf numFmtId="14" fontId="0" fillId="0" borderId="1" xfId="0" applyNumberFormat="1" applyBorder="1" applyAlignment="1"/>
    <xf numFmtId="3" fontId="0" fillId="0" borderId="1" xfId="0" applyNumberFormat="1" applyBorder="1" applyAlignment="1"/>
    <xf numFmtId="0" fontId="0" fillId="2" borderId="1" xfId="0" applyFill="1" applyBorder="1"/>
    <xf numFmtId="3" fontId="0" fillId="2" borderId="1" xfId="0" applyNumberFormat="1" applyFill="1" applyBorder="1"/>
    <xf numFmtId="0" fontId="0" fillId="0" borderId="5" xfId="0" applyBorder="1"/>
    <xf numFmtId="3" fontId="0" fillId="0" borderId="5" xfId="0" applyNumberFormat="1" applyBorder="1"/>
    <xf numFmtId="0" fontId="0" fillId="0" borderId="6" xfId="0" applyBorder="1"/>
    <xf numFmtId="0" fontId="1" fillId="2" borderId="7" xfId="0" applyFont="1" applyFill="1" applyBorder="1"/>
    <xf numFmtId="0" fontId="0" fillId="2" borderId="7" xfId="0" applyFill="1" applyBorder="1"/>
    <xf numFmtId="3" fontId="1" fillId="2" borderId="7" xfId="0" applyNumberFormat="1" applyFont="1" applyFill="1" applyBorder="1"/>
    <xf numFmtId="0" fontId="1" fillId="2" borderId="8" xfId="0" applyFont="1" applyFill="1" applyBorder="1"/>
    <xf numFmtId="0" fontId="0" fillId="2" borderId="5" xfId="0" applyFill="1" applyBorder="1" applyAlignment="1">
      <alignment wrapText="1"/>
    </xf>
    <xf numFmtId="3" fontId="0" fillId="2" borderId="5" xfId="0" applyNumberFormat="1" applyFill="1" applyBorder="1" applyAlignment="1">
      <alignment wrapText="1"/>
    </xf>
    <xf numFmtId="0" fontId="0" fillId="2" borderId="6" xfId="0" applyFill="1" applyBorder="1" applyAlignment="1">
      <alignment wrapText="1"/>
    </xf>
    <xf numFmtId="3" fontId="0" fillId="0" borderId="0" xfId="0" applyNumberFormat="1" applyFill="1"/>
    <xf numFmtId="0" fontId="0" fillId="0" borderId="2" xfId="0" applyFill="1" applyBorder="1"/>
    <xf numFmtId="14" fontId="3" fillId="2" borderId="0" xfId="0" applyNumberFormat="1" applyFont="1" applyFill="1"/>
    <xf numFmtId="3" fontId="3" fillId="2" borderId="0" xfId="0" applyNumberFormat="1" applyFont="1" applyFill="1"/>
    <xf numFmtId="14" fontId="1" fillId="2" borderId="0" xfId="0" applyNumberFormat="1" applyFont="1" applyFill="1"/>
    <xf numFmtId="14" fontId="0" fillId="0" borderId="9" xfId="0" applyNumberFormat="1" applyFill="1" applyBorder="1" applyAlignment="1">
      <alignment wrapText="1"/>
    </xf>
    <xf numFmtId="0" fontId="0" fillId="0" borderId="9" xfId="0" applyBorder="1" applyAlignment="1">
      <alignment vertical="top"/>
    </xf>
    <xf numFmtId="0" fontId="0" fillId="2" borderId="9" xfId="0" applyFill="1" applyBorder="1" applyAlignment="1">
      <alignment vertical="top"/>
    </xf>
    <xf numFmtId="0" fontId="1" fillId="0" borderId="0" xfId="0" applyFont="1" applyFill="1"/>
    <xf numFmtId="14" fontId="3" fillId="0" borderId="0" xfId="0" applyNumberFormat="1" applyFont="1" applyFill="1"/>
    <xf numFmtId="3" fontId="3" fillId="0" borderId="0" xfId="0" applyNumberFormat="1" applyFont="1" applyFill="1"/>
    <xf numFmtId="0" fontId="1" fillId="0" borderId="2" xfId="0" applyFont="1" applyFill="1" applyBorder="1"/>
    <xf numFmtId="14" fontId="1" fillId="0" borderId="1" xfId="0" applyNumberFormat="1" applyFont="1" applyBorder="1"/>
    <xf numFmtId="0" fontId="1" fillId="0" borderId="1" xfId="0" applyFont="1" applyBorder="1"/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2" xfId="0" applyFill="1" applyBorder="1" applyAlignment="1">
      <alignment wrapText="1"/>
    </xf>
    <xf numFmtId="14" fontId="1" fillId="0" borderId="13" xfId="0" applyNumberFormat="1" applyFont="1" applyBorder="1"/>
    <xf numFmtId="0" fontId="1" fillId="0" borderId="14" xfId="0" applyFont="1" applyBorder="1"/>
    <xf numFmtId="0" fontId="1" fillId="2" borderId="6" xfId="0" applyFont="1" applyFill="1" applyBorder="1" applyAlignment="1">
      <alignment wrapText="1"/>
    </xf>
    <xf numFmtId="0" fontId="0" fillId="4" borderId="5" xfId="0" applyFill="1" applyBorder="1"/>
    <xf numFmtId="0" fontId="0" fillId="4" borderId="6" xfId="0" applyFill="1" applyBorder="1"/>
    <xf numFmtId="0" fontId="1" fillId="3" borderId="4" xfId="0" applyFont="1" applyFill="1" applyBorder="1"/>
    <xf numFmtId="0" fontId="1" fillId="3" borderId="18" xfId="0" applyFont="1" applyFill="1" applyBorder="1"/>
    <xf numFmtId="0" fontId="0" fillId="0" borderId="19" xfId="0" applyBorder="1"/>
    <xf numFmtId="0" fontId="0" fillId="0" borderId="20" xfId="0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0" borderId="0" xfId="0" applyBorder="1"/>
    <xf numFmtId="0" fontId="0" fillId="2" borderId="16" xfId="0" applyFill="1" applyBorder="1"/>
    <xf numFmtId="0" fontId="1" fillId="2" borderId="17" xfId="0" applyFont="1" applyFill="1" applyBorder="1" applyAlignment="1">
      <alignment wrapText="1"/>
    </xf>
    <xf numFmtId="0" fontId="1" fillId="2" borderId="0" xfId="0" applyFont="1" applyFill="1" applyBorder="1"/>
    <xf numFmtId="3" fontId="1" fillId="2" borderId="0" xfId="0" applyNumberFormat="1" applyFont="1" applyFill="1" applyBorder="1"/>
    <xf numFmtId="0" fontId="1" fillId="2" borderId="15" xfId="0" applyFont="1" applyFill="1" applyBorder="1"/>
    <xf numFmtId="3" fontId="0" fillId="0" borderId="0" xfId="0" applyNumberFormat="1" applyBorder="1"/>
    <xf numFmtId="0" fontId="0" fillId="0" borderId="15" xfId="0" applyBorder="1"/>
    <xf numFmtId="0" fontId="1" fillId="0" borderId="0" xfId="0" applyFont="1" applyFill="1" applyBorder="1"/>
    <xf numFmtId="0" fontId="1" fillId="2" borderId="4" xfId="0" applyFont="1" applyFill="1" applyBorder="1"/>
    <xf numFmtId="0" fontId="1" fillId="2" borderId="21" xfId="0" applyFont="1" applyFill="1" applyBorder="1"/>
    <xf numFmtId="14" fontId="1" fillId="2" borderId="21" xfId="0" applyNumberFormat="1" applyFont="1" applyFill="1" applyBorder="1"/>
    <xf numFmtId="3" fontId="1" fillId="2" borderId="22" xfId="0" applyNumberFormat="1" applyFont="1" applyFill="1" applyBorder="1"/>
    <xf numFmtId="0" fontId="0" fillId="5" borderId="2" xfId="0" applyFill="1" applyBorder="1"/>
    <xf numFmtId="14" fontId="0" fillId="5" borderId="0" xfId="0" applyNumberFormat="1" applyFill="1"/>
    <xf numFmtId="3" fontId="0" fillId="5" borderId="0" xfId="0" applyNumberFormat="1" applyFill="1"/>
    <xf numFmtId="1" fontId="0" fillId="0" borderId="0" xfId="0" applyNumberFormat="1"/>
    <xf numFmtId="14" fontId="0" fillId="0" borderId="0" xfId="0" applyNumberFormat="1" applyFill="1"/>
    <xf numFmtId="14" fontId="0" fillId="0" borderId="0" xfId="0" applyNumberFormat="1" applyBorder="1"/>
    <xf numFmtId="14" fontId="1" fillId="2" borderId="0" xfId="0" applyNumberFormat="1" applyFont="1" applyFill="1" applyBorder="1"/>
    <xf numFmtId="14" fontId="1" fillId="4" borderId="5" xfId="0" applyNumberFormat="1" applyFont="1" applyFill="1" applyBorder="1"/>
    <xf numFmtId="0" fontId="0" fillId="4" borderId="17" xfId="0" applyFill="1" applyBorder="1"/>
    <xf numFmtId="0" fontId="0" fillId="2" borderId="23" xfId="0" applyFill="1" applyBorder="1"/>
    <xf numFmtId="0" fontId="0" fillId="0" borderId="16" xfId="0" applyBorder="1"/>
    <xf numFmtId="0" fontId="0" fillId="0" borderId="17" xfId="0" applyBorder="1"/>
    <xf numFmtId="0" fontId="1" fillId="0" borderId="5" xfId="0" applyFont="1" applyBorder="1"/>
    <xf numFmtId="3" fontId="1" fillId="0" borderId="17" xfId="0" applyNumberFormat="1" applyFont="1" applyBorder="1"/>
    <xf numFmtId="3" fontId="1" fillId="2" borderId="16" xfId="0" applyNumberFormat="1" applyFont="1" applyFill="1" applyBorder="1"/>
    <xf numFmtId="3" fontId="0" fillId="0" borderId="16" xfId="0" applyNumberFormat="1" applyBorder="1"/>
    <xf numFmtId="3" fontId="0" fillId="2" borderId="23" xfId="0" applyNumberFormat="1" applyFill="1" applyBorder="1"/>
    <xf numFmtId="0" fontId="1" fillId="2" borderId="16" xfId="0" applyFont="1" applyFill="1" applyBorder="1"/>
    <xf numFmtId="0" fontId="0" fillId="2" borderId="17" xfId="0" applyFill="1" applyBorder="1" applyAlignment="1">
      <alignment wrapText="1"/>
    </xf>
    <xf numFmtId="0" fontId="0" fillId="0" borderId="23" xfId="0" applyBorder="1"/>
    <xf numFmtId="0" fontId="1" fillId="2" borderId="24" xfId="0" applyFont="1" applyFill="1" applyBorder="1"/>
    <xf numFmtId="0" fontId="1" fillId="2" borderId="23" xfId="0" applyFont="1" applyFill="1" applyBorder="1"/>
    <xf numFmtId="0" fontId="1" fillId="0" borderId="17" xfId="0" applyFont="1" applyFill="1" applyBorder="1"/>
    <xf numFmtId="0" fontId="1" fillId="0" borderId="17" xfId="0" applyFont="1" applyBorder="1"/>
    <xf numFmtId="0" fontId="0" fillId="0" borderId="25" xfId="0" applyBorder="1"/>
    <xf numFmtId="0" fontId="1" fillId="2" borderId="26" xfId="0" applyFont="1" applyFill="1" applyBorder="1"/>
    <xf numFmtId="3" fontId="1" fillId="2" borderId="27" xfId="0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O114"/>
  <sheetViews>
    <sheetView tabSelected="1" workbookViewId="0" xr3:uid="{AEA406A1-0E4B-5B11-9CD5-51D6E497D94C}">
      <selection activeCell="N18" sqref="N18:Q22"/>
    </sheetView>
  </sheetViews>
  <sheetFormatPr defaultRowHeight="15" x14ac:dyDescent="0.2"/>
  <cols>
    <col min="1" max="1" width="33.359375" customWidth="1"/>
    <col min="2" max="2" width="9.68359375" bestFit="1" customWidth="1"/>
    <col min="3" max="3" width="11.02734375" customWidth="1"/>
    <col min="4" max="4" width="11.02734375" style="5" customWidth="1"/>
    <col min="5" max="5" width="11.02734375" style="42" customWidth="1"/>
    <col min="6" max="6" width="9.68359375" style="33" bestFit="1" customWidth="1"/>
    <col min="7" max="7" width="10.76171875" bestFit="1" customWidth="1"/>
    <col min="8" max="8" width="9.68359375" style="5" customWidth="1"/>
    <col min="9" max="9" width="9.68359375" style="42" customWidth="1"/>
    <col min="10" max="10" width="9.68359375" style="33" bestFit="1" customWidth="1"/>
    <col min="11" max="11" width="11.43359375" customWidth="1"/>
    <col min="12" max="12" width="9.68359375" style="5" customWidth="1"/>
    <col min="13" max="13" width="9.68359375" style="42" customWidth="1"/>
    <col min="14" max="14" width="9.68359375" style="33" bestFit="1" customWidth="1"/>
    <col min="15" max="15" width="9.68359375" bestFit="1" customWidth="1"/>
    <col min="18" max="18" width="9.14453125" style="33"/>
  </cols>
  <sheetData>
    <row r="1" spans="1:55" s="35" customFormat="1" x14ac:dyDescent="0.2">
      <c r="A1" s="121" t="s">
        <v>48</v>
      </c>
      <c r="E1" s="41"/>
      <c r="F1" s="37"/>
      <c r="I1" s="41"/>
      <c r="J1" s="37"/>
      <c r="M1" s="41"/>
      <c r="N1" s="37"/>
      <c r="R1" s="37"/>
      <c r="S1" s="92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</row>
    <row r="2" spans="1:55" s="35" customFormat="1" x14ac:dyDescent="0.2">
      <c r="A2" s="92"/>
      <c r="B2" s="11" t="s">
        <v>2</v>
      </c>
      <c r="E2" s="41"/>
      <c r="F2" s="36" t="s">
        <v>3</v>
      </c>
      <c r="I2" s="41"/>
      <c r="J2" s="36" t="s">
        <v>4</v>
      </c>
      <c r="M2" s="41"/>
      <c r="N2" s="36" t="s">
        <v>5</v>
      </c>
      <c r="R2" s="36" t="s">
        <v>72</v>
      </c>
      <c r="S2" s="92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</row>
    <row r="3" spans="1:55" s="59" customFormat="1" ht="28.5" thickBot="1" x14ac:dyDescent="0.25">
      <c r="A3" s="122"/>
      <c r="B3" s="59" t="s">
        <v>43</v>
      </c>
      <c r="C3" s="59" t="s">
        <v>44</v>
      </c>
      <c r="D3" s="59" t="s">
        <v>45</v>
      </c>
      <c r="E3" s="60" t="s">
        <v>46</v>
      </c>
      <c r="F3" s="61" t="s">
        <v>0</v>
      </c>
      <c r="G3" s="59" t="s">
        <v>1</v>
      </c>
      <c r="H3" s="59" t="s">
        <v>45</v>
      </c>
      <c r="I3" s="60" t="s">
        <v>46</v>
      </c>
      <c r="J3" s="61" t="s">
        <v>0</v>
      </c>
      <c r="K3" s="59" t="s">
        <v>1</v>
      </c>
      <c r="L3" s="59" t="s">
        <v>45</v>
      </c>
      <c r="M3" s="60" t="s">
        <v>46</v>
      </c>
      <c r="N3" s="61" t="s">
        <v>0</v>
      </c>
      <c r="O3" s="59" t="s">
        <v>1</v>
      </c>
      <c r="P3" s="59" t="s">
        <v>45</v>
      </c>
      <c r="Q3" s="59" t="s">
        <v>46</v>
      </c>
      <c r="R3" s="82" t="s">
        <v>44</v>
      </c>
      <c r="S3" s="93" t="s">
        <v>46</v>
      </c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</row>
    <row r="4" spans="1:55" ht="15.75" thickTop="1" x14ac:dyDescent="0.2">
      <c r="A4" s="123" t="s">
        <v>6</v>
      </c>
      <c r="C4" s="10">
        <v>795.2</v>
      </c>
      <c r="D4"/>
      <c r="E4" s="62">
        <v>0</v>
      </c>
      <c r="G4">
        <v>2973</v>
      </c>
      <c r="H4"/>
      <c r="I4" s="42">
        <v>0</v>
      </c>
      <c r="K4">
        <v>3959</v>
      </c>
      <c r="L4"/>
      <c r="M4" s="42">
        <v>0</v>
      </c>
      <c r="O4">
        <v>16698.8</v>
      </c>
      <c r="Q4">
        <v>0</v>
      </c>
      <c r="R4" s="85">
        <f>SUM(R5:R12)</f>
        <v>305</v>
      </c>
      <c r="S4" s="86">
        <f>SUM(S5:S12)</f>
        <v>1159</v>
      </c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</row>
    <row r="5" spans="1:55" x14ac:dyDescent="0.2">
      <c r="A5" s="114" t="s">
        <v>7</v>
      </c>
      <c r="B5">
        <v>1.1000000000000001</v>
      </c>
      <c r="C5" s="35">
        <f t="shared" ref="C5:C12" si="0">C4+B5</f>
        <v>796.30000000000007</v>
      </c>
      <c r="D5">
        <v>2</v>
      </c>
      <c r="E5" s="41">
        <f t="shared" ref="E5:E12" si="1">E4+D5</f>
        <v>2</v>
      </c>
      <c r="F5" s="33">
        <v>5.8</v>
      </c>
      <c r="G5" s="35">
        <f t="shared" ref="G5:G12" si="2">G4+F5</f>
        <v>2978.8</v>
      </c>
      <c r="H5">
        <v>26</v>
      </c>
      <c r="I5" s="41">
        <f t="shared" ref="I5:I12" si="3">I4+H5</f>
        <v>26</v>
      </c>
      <c r="J5" s="33">
        <v>2.5</v>
      </c>
      <c r="K5" s="35">
        <f t="shared" ref="K5:K12" si="4">K4+J5</f>
        <v>3961.5</v>
      </c>
      <c r="L5">
        <v>9</v>
      </c>
      <c r="M5" s="41">
        <f>M4+L5</f>
        <v>9</v>
      </c>
      <c r="N5" s="33">
        <v>3.3</v>
      </c>
      <c r="O5" s="35">
        <f t="shared" ref="O5:O12" si="5">O4+N5</f>
        <v>16702.099999999999</v>
      </c>
      <c r="P5">
        <v>13</v>
      </c>
      <c r="Q5" s="35">
        <f t="shared" ref="Q5:Q12" si="6">Q4+P5</f>
        <v>13</v>
      </c>
      <c r="R5" s="33">
        <f t="shared" ref="R5:R12" si="7">SUM(N5,J5,F5,B5,)</f>
        <v>12.7</v>
      </c>
      <c r="S5" s="87">
        <f t="shared" ref="S5:S12" si="8">SUM(P5,L5,H5,D5,)</f>
        <v>50</v>
      </c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</row>
    <row r="6" spans="1:55" x14ac:dyDescent="0.2">
      <c r="A6" s="114" t="s">
        <v>8</v>
      </c>
      <c r="B6">
        <v>11.3</v>
      </c>
      <c r="C6" s="35">
        <f t="shared" si="0"/>
        <v>807.6</v>
      </c>
      <c r="D6">
        <v>23</v>
      </c>
      <c r="E6" s="41">
        <f t="shared" si="1"/>
        <v>25</v>
      </c>
      <c r="F6" s="33">
        <v>1.3</v>
      </c>
      <c r="G6" s="35">
        <f t="shared" si="2"/>
        <v>2980.1000000000004</v>
      </c>
      <c r="H6">
        <v>1</v>
      </c>
      <c r="I6" s="41">
        <f t="shared" si="3"/>
        <v>27</v>
      </c>
      <c r="J6" s="33">
        <v>7</v>
      </c>
      <c r="K6" s="35">
        <f t="shared" si="4"/>
        <v>3968.5</v>
      </c>
      <c r="L6">
        <v>38</v>
      </c>
      <c r="M6" s="41">
        <f t="shared" ref="M6:M12" si="9">M5+L6</f>
        <v>47</v>
      </c>
      <c r="N6" s="33">
        <v>4.5999999999999996</v>
      </c>
      <c r="O6" s="35">
        <f t="shared" si="5"/>
        <v>16706.699999999997</v>
      </c>
      <c r="P6">
        <v>2</v>
      </c>
      <c r="Q6" s="35">
        <f t="shared" si="6"/>
        <v>15</v>
      </c>
      <c r="R6" s="33">
        <f t="shared" si="7"/>
        <v>24.200000000000003</v>
      </c>
      <c r="S6" s="87">
        <f t="shared" si="8"/>
        <v>64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</row>
    <row r="7" spans="1:55" x14ac:dyDescent="0.2">
      <c r="A7" s="114" t="s">
        <v>9</v>
      </c>
      <c r="B7">
        <v>19.7</v>
      </c>
      <c r="C7" s="35">
        <f t="shared" si="0"/>
        <v>827.30000000000007</v>
      </c>
      <c r="D7">
        <v>66</v>
      </c>
      <c r="E7" s="41">
        <f t="shared" si="1"/>
        <v>91</v>
      </c>
      <c r="F7" s="33">
        <v>19.2</v>
      </c>
      <c r="G7" s="35">
        <f t="shared" si="2"/>
        <v>2999.3</v>
      </c>
      <c r="H7">
        <v>76</v>
      </c>
      <c r="I7" s="41">
        <f t="shared" si="3"/>
        <v>103</v>
      </c>
      <c r="J7" s="33">
        <v>26.4</v>
      </c>
      <c r="K7" s="35">
        <f t="shared" si="4"/>
        <v>3994.9</v>
      </c>
      <c r="L7">
        <v>88</v>
      </c>
      <c r="M7" s="41">
        <f>M6+L7</f>
        <v>135</v>
      </c>
      <c r="N7" s="33">
        <v>16.2</v>
      </c>
      <c r="O7" s="35">
        <f>O6+N7</f>
        <v>16722.899999999998</v>
      </c>
      <c r="P7">
        <v>60</v>
      </c>
      <c r="Q7" s="35">
        <f t="shared" si="6"/>
        <v>75</v>
      </c>
      <c r="R7" s="33">
        <f t="shared" si="7"/>
        <v>81.5</v>
      </c>
      <c r="S7" s="87">
        <f t="shared" si="8"/>
        <v>290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</row>
    <row r="8" spans="1:55" x14ac:dyDescent="0.2">
      <c r="A8" s="114" t="s">
        <v>10</v>
      </c>
      <c r="B8">
        <v>10.3</v>
      </c>
      <c r="C8" s="35">
        <f t="shared" si="0"/>
        <v>837.6</v>
      </c>
      <c r="D8">
        <v>37</v>
      </c>
      <c r="E8" s="41">
        <f t="shared" si="1"/>
        <v>128</v>
      </c>
      <c r="F8" s="33">
        <v>31.7</v>
      </c>
      <c r="G8" s="35">
        <f t="shared" si="2"/>
        <v>3031</v>
      </c>
      <c r="H8">
        <v>93</v>
      </c>
      <c r="I8" s="41">
        <f t="shared" si="3"/>
        <v>196</v>
      </c>
      <c r="J8" s="33">
        <v>8.1999999999999993</v>
      </c>
      <c r="K8" s="35">
        <f t="shared" si="4"/>
        <v>4003.1</v>
      </c>
      <c r="L8">
        <v>25</v>
      </c>
      <c r="M8" s="41">
        <f t="shared" si="9"/>
        <v>160</v>
      </c>
      <c r="N8" s="33">
        <v>33.299999999999997</v>
      </c>
      <c r="O8" s="35">
        <f t="shared" si="5"/>
        <v>16756.199999999997</v>
      </c>
      <c r="P8">
        <v>110</v>
      </c>
      <c r="Q8" s="35">
        <f t="shared" si="6"/>
        <v>185</v>
      </c>
      <c r="R8" s="33">
        <f t="shared" si="7"/>
        <v>83.5</v>
      </c>
      <c r="S8" s="87">
        <f t="shared" si="8"/>
        <v>265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</row>
    <row r="9" spans="1:55" x14ac:dyDescent="0.2">
      <c r="A9" s="114" t="s">
        <v>14</v>
      </c>
      <c r="B9">
        <v>26.2</v>
      </c>
      <c r="C9" s="35">
        <f t="shared" si="0"/>
        <v>863.80000000000007</v>
      </c>
      <c r="D9">
        <v>131</v>
      </c>
      <c r="E9" s="41">
        <f t="shared" si="1"/>
        <v>259</v>
      </c>
      <c r="F9" s="33">
        <v>23.3</v>
      </c>
      <c r="G9" s="35">
        <f t="shared" si="2"/>
        <v>3054.3</v>
      </c>
      <c r="H9">
        <v>121</v>
      </c>
      <c r="I9" s="41">
        <f t="shared" si="3"/>
        <v>317</v>
      </c>
      <c r="J9" s="33">
        <v>0</v>
      </c>
      <c r="K9" s="35">
        <f t="shared" si="4"/>
        <v>4003.1</v>
      </c>
      <c r="L9">
        <v>0</v>
      </c>
      <c r="M9" s="41">
        <f t="shared" si="9"/>
        <v>160</v>
      </c>
      <c r="N9" s="33">
        <v>20.6</v>
      </c>
      <c r="O9" s="35">
        <f t="shared" si="5"/>
        <v>16776.799999999996</v>
      </c>
      <c r="P9">
        <v>115</v>
      </c>
      <c r="Q9" s="35">
        <f t="shared" si="6"/>
        <v>300</v>
      </c>
      <c r="R9" s="33">
        <f t="shared" si="7"/>
        <v>70.100000000000009</v>
      </c>
      <c r="S9" s="87">
        <f t="shared" si="8"/>
        <v>367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</row>
    <row r="10" spans="1:55" x14ac:dyDescent="0.2">
      <c r="A10" s="114" t="s">
        <v>11</v>
      </c>
      <c r="B10">
        <v>1.8</v>
      </c>
      <c r="C10" s="35">
        <f t="shared" si="0"/>
        <v>865.6</v>
      </c>
      <c r="D10">
        <v>7</v>
      </c>
      <c r="E10" s="41">
        <f t="shared" si="1"/>
        <v>266</v>
      </c>
      <c r="F10" s="33">
        <v>12.7</v>
      </c>
      <c r="G10" s="35">
        <f t="shared" si="2"/>
        <v>3067</v>
      </c>
      <c r="H10">
        <v>45</v>
      </c>
      <c r="I10" s="41">
        <f t="shared" si="3"/>
        <v>362</v>
      </c>
      <c r="J10" s="33">
        <v>0</v>
      </c>
      <c r="K10" s="35">
        <f t="shared" si="4"/>
        <v>4003.1</v>
      </c>
      <c r="L10">
        <v>0</v>
      </c>
      <c r="M10" s="41">
        <f t="shared" si="9"/>
        <v>160</v>
      </c>
      <c r="N10" s="33">
        <v>14.4</v>
      </c>
      <c r="O10" s="35">
        <f t="shared" si="5"/>
        <v>16791.199999999997</v>
      </c>
      <c r="P10">
        <v>52</v>
      </c>
      <c r="Q10" s="35">
        <f t="shared" si="6"/>
        <v>352</v>
      </c>
      <c r="R10" s="33">
        <f t="shared" si="7"/>
        <v>28.900000000000002</v>
      </c>
      <c r="S10" s="87">
        <f t="shared" si="8"/>
        <v>104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</row>
    <row r="11" spans="1:55" x14ac:dyDescent="0.2">
      <c r="A11" s="114" t="s">
        <v>12</v>
      </c>
      <c r="B11">
        <v>4.0999999999999996</v>
      </c>
      <c r="C11" s="35">
        <f t="shared" si="0"/>
        <v>869.7</v>
      </c>
      <c r="D11">
        <v>19</v>
      </c>
      <c r="E11" s="41">
        <f t="shared" si="1"/>
        <v>285</v>
      </c>
      <c r="F11" s="33">
        <v>0</v>
      </c>
      <c r="G11" s="35">
        <f t="shared" si="2"/>
        <v>3067</v>
      </c>
      <c r="H11">
        <v>0</v>
      </c>
      <c r="I11" s="41">
        <f t="shared" si="3"/>
        <v>362</v>
      </c>
      <c r="J11" s="33">
        <v>0</v>
      </c>
      <c r="K11" s="35">
        <f t="shared" si="4"/>
        <v>4003.1</v>
      </c>
      <c r="L11">
        <v>0</v>
      </c>
      <c r="M11" s="41">
        <f t="shared" si="9"/>
        <v>160</v>
      </c>
      <c r="N11" s="33">
        <v>0</v>
      </c>
      <c r="O11" s="35">
        <f t="shared" si="5"/>
        <v>16791.199999999997</v>
      </c>
      <c r="P11">
        <v>0</v>
      </c>
      <c r="Q11" s="35">
        <f t="shared" si="6"/>
        <v>352</v>
      </c>
      <c r="R11" s="33">
        <f t="shared" si="7"/>
        <v>4.0999999999999996</v>
      </c>
      <c r="S11" s="87">
        <f t="shared" si="8"/>
        <v>19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</row>
    <row r="12" spans="1:55" ht="15.75" thickBot="1" x14ac:dyDescent="0.25">
      <c r="A12" s="114" t="s">
        <v>13</v>
      </c>
      <c r="C12" s="35">
        <f t="shared" si="0"/>
        <v>869.7</v>
      </c>
      <c r="D12"/>
      <c r="E12" s="41">
        <f t="shared" si="1"/>
        <v>285</v>
      </c>
      <c r="G12" s="35">
        <f t="shared" si="2"/>
        <v>3067</v>
      </c>
      <c r="H12"/>
      <c r="I12" s="41">
        <f t="shared" si="3"/>
        <v>362</v>
      </c>
      <c r="K12" s="35">
        <f t="shared" si="4"/>
        <v>4003.1</v>
      </c>
      <c r="L12"/>
      <c r="M12" s="41">
        <f t="shared" si="9"/>
        <v>160</v>
      </c>
      <c r="O12" s="35">
        <f t="shared" si="5"/>
        <v>16791.199999999997</v>
      </c>
      <c r="Q12" s="35">
        <f t="shared" si="6"/>
        <v>352</v>
      </c>
      <c r="R12" s="54">
        <f t="shared" si="7"/>
        <v>0</v>
      </c>
      <c r="S12" s="88">
        <f t="shared" si="8"/>
        <v>0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</row>
    <row r="13" spans="1:55" ht="16.5" thickTop="1" thickBot="1" x14ac:dyDescent="0.25">
      <c r="A13" s="115"/>
      <c r="C13" s="35"/>
      <c r="D13"/>
      <c r="E13" s="41"/>
      <c r="G13" s="35"/>
      <c r="H13"/>
      <c r="I13" s="41"/>
      <c r="K13" s="35"/>
      <c r="L13"/>
      <c r="M13" s="41"/>
      <c r="O13" s="35"/>
      <c r="Q13" s="35"/>
      <c r="R13" s="63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</row>
    <row r="14" spans="1:55" s="56" customFormat="1" ht="16.5" thickTop="1" thickBot="1" x14ac:dyDescent="0.25">
      <c r="A14" s="124" t="s">
        <v>47</v>
      </c>
      <c r="C14" s="55">
        <f>C4-C12+100</f>
        <v>25.5</v>
      </c>
      <c r="E14" s="57">
        <f>E4-E12+500</f>
        <v>215</v>
      </c>
      <c r="F14" s="58"/>
      <c r="G14" s="55">
        <f>G4-G12+100</f>
        <v>6</v>
      </c>
      <c r="H14" s="55"/>
      <c r="I14" s="57">
        <f>I4-I12+500</f>
        <v>138</v>
      </c>
      <c r="J14" s="58"/>
      <c r="K14" s="55">
        <f>K4-K12+100</f>
        <v>55.900000000000091</v>
      </c>
      <c r="L14" s="55"/>
      <c r="M14" s="57">
        <f>M4-M12+500</f>
        <v>340</v>
      </c>
      <c r="N14" s="58"/>
      <c r="O14" s="55"/>
      <c r="P14" s="55"/>
      <c r="Q14" s="55"/>
      <c r="R14" s="63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</row>
    <row r="15" spans="1:55" ht="16.5" thickTop="1" thickBot="1" x14ac:dyDescent="0.25">
      <c r="R15" s="63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</row>
    <row r="16" spans="1:55" ht="15.75" thickTop="1" x14ac:dyDescent="0.2">
      <c r="A16" s="125" t="s">
        <v>60</v>
      </c>
      <c r="B16" s="39"/>
      <c r="C16" s="39"/>
      <c r="D16" s="39"/>
      <c r="E16" s="44"/>
      <c r="F16" s="40"/>
      <c r="G16" s="39"/>
      <c r="H16" s="39"/>
      <c r="I16" s="44"/>
      <c r="J16" s="40"/>
      <c r="K16" s="39"/>
      <c r="L16" s="39"/>
      <c r="M16" s="44"/>
      <c r="N16" s="40"/>
      <c r="O16" s="39"/>
      <c r="P16" s="39"/>
      <c r="Q16" s="39"/>
      <c r="R16" s="63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</row>
    <row r="17" spans="1:197" ht="15.75" thickBot="1" x14ac:dyDescent="0.25">
      <c r="A17" s="126" t="s">
        <v>17</v>
      </c>
      <c r="B17" s="70"/>
      <c r="C17" s="71">
        <v>44316</v>
      </c>
      <c r="D17" s="71"/>
      <c r="E17" s="72"/>
      <c r="F17" s="73"/>
      <c r="G17" s="71">
        <v>43465</v>
      </c>
      <c r="H17" s="71"/>
      <c r="I17" s="72"/>
      <c r="J17" s="73"/>
      <c r="K17" s="71">
        <v>44592</v>
      </c>
      <c r="L17" s="71"/>
      <c r="M17" s="72"/>
      <c r="N17" s="84"/>
      <c r="O17" s="111">
        <v>44592</v>
      </c>
      <c r="P17" s="83"/>
      <c r="Q17" s="112"/>
      <c r="R17" s="63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</row>
    <row r="18" spans="1:197" s="39" customFormat="1" ht="15.75" thickTop="1" x14ac:dyDescent="0.2">
      <c r="A18" s="125" t="s">
        <v>20</v>
      </c>
      <c r="E18" s="44"/>
      <c r="F18" s="40"/>
      <c r="I18" s="44"/>
      <c r="J18" s="40"/>
      <c r="M18" s="120"/>
      <c r="N18" s="94" t="s">
        <v>90</v>
      </c>
      <c r="O18" s="89"/>
      <c r="P18" s="89"/>
      <c r="Q18" s="113"/>
      <c r="R18" s="91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</row>
    <row r="19" spans="1:197" x14ac:dyDescent="0.2">
      <c r="A19" s="114" t="s">
        <v>16</v>
      </c>
      <c r="B19">
        <f>C4</f>
        <v>795.2</v>
      </c>
      <c r="C19" s="1">
        <v>43188</v>
      </c>
      <c r="D19" s="6"/>
      <c r="E19" s="42">
        <f>E4</f>
        <v>0</v>
      </c>
      <c r="F19" s="33">
        <f>G4</f>
        <v>2973</v>
      </c>
      <c r="G19" s="1">
        <v>43156</v>
      </c>
      <c r="H19" s="6"/>
      <c r="I19" s="42">
        <f>I4</f>
        <v>0</v>
      </c>
      <c r="J19" s="33">
        <f>K4</f>
        <v>3959</v>
      </c>
      <c r="K19" s="1">
        <v>43201</v>
      </c>
      <c r="L19" s="6"/>
      <c r="M19" s="119">
        <f>M4</f>
        <v>0</v>
      </c>
      <c r="N19" s="91">
        <f>O4</f>
        <v>16698.8</v>
      </c>
      <c r="O19" s="109">
        <v>43210</v>
      </c>
      <c r="P19" s="91"/>
      <c r="Q19" s="114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</row>
    <row r="20" spans="1:197" x14ac:dyDescent="0.2">
      <c r="A20" s="121" t="s">
        <v>17</v>
      </c>
      <c r="B20" s="11">
        <f>100+B19</f>
        <v>895.2</v>
      </c>
      <c r="C20" s="66">
        <v>43555</v>
      </c>
      <c r="D20" s="66"/>
      <c r="E20" s="43">
        <f>500+E19</f>
        <v>500</v>
      </c>
      <c r="F20" s="36">
        <f>100+F19</f>
        <v>3073</v>
      </c>
      <c r="G20" s="66">
        <v>43524</v>
      </c>
      <c r="H20" s="66"/>
      <c r="I20" s="43">
        <f>500+I19</f>
        <v>500</v>
      </c>
      <c r="J20" s="36">
        <f>100+J19</f>
        <v>4059</v>
      </c>
      <c r="K20" s="66">
        <v>43585</v>
      </c>
      <c r="L20" s="66"/>
      <c r="M20" s="118">
        <f>500+M19</f>
        <v>500</v>
      </c>
      <c r="N20" s="94" t="s">
        <v>21</v>
      </c>
      <c r="O20" s="110">
        <v>43585</v>
      </c>
      <c r="P20" s="89"/>
      <c r="Q20" s="92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</row>
    <row r="21" spans="1:197" s="35" customFormat="1" x14ac:dyDescent="0.2">
      <c r="A21" s="121" t="s">
        <v>47</v>
      </c>
      <c r="B21" s="35">
        <f>C14</f>
        <v>25.5</v>
      </c>
      <c r="D21" s="11"/>
      <c r="E21" s="43">
        <f>E4-E12+500</f>
        <v>215</v>
      </c>
      <c r="F21" s="36">
        <f>G14</f>
        <v>6</v>
      </c>
      <c r="H21" s="11"/>
      <c r="I21" s="43">
        <f>I4-I12+500</f>
        <v>138</v>
      </c>
      <c r="J21" s="36">
        <f>K14</f>
        <v>55.900000000000091</v>
      </c>
      <c r="L21" s="11"/>
      <c r="M21" s="118">
        <f>M4-M12+500</f>
        <v>340</v>
      </c>
      <c r="N21" s="94"/>
      <c r="O21" s="94"/>
      <c r="P21" s="89"/>
      <c r="Q21" s="92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</row>
    <row r="22" spans="1:197" ht="15.75" thickBot="1" x14ac:dyDescent="0.25">
      <c r="A22" s="127"/>
      <c r="C22" s="2"/>
      <c r="D22" s="2"/>
      <c r="E22" s="45"/>
      <c r="F22" s="34"/>
      <c r="G22" s="2"/>
      <c r="H22" s="2"/>
      <c r="I22" s="45"/>
      <c r="J22" s="34"/>
      <c r="K22" s="2"/>
      <c r="L22" s="2"/>
      <c r="M22" s="117"/>
      <c r="N22" s="116"/>
      <c r="O22" s="116"/>
      <c r="P22" s="52"/>
      <c r="Q22" s="115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</row>
    <row r="23" spans="1:197" s="39" customFormat="1" ht="15.75" thickTop="1" x14ac:dyDescent="0.2">
      <c r="A23" s="125" t="s">
        <v>15</v>
      </c>
      <c r="E23" s="44"/>
      <c r="F23" s="40"/>
      <c r="I23" s="44"/>
      <c r="J23" s="40"/>
      <c r="M23" s="44"/>
      <c r="N23" s="33"/>
      <c r="O23" s="91"/>
      <c r="P23" s="91"/>
      <c r="Q23" s="91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</row>
    <row r="24" spans="1:197" x14ac:dyDescent="0.2">
      <c r="A24" s="114" t="s">
        <v>16</v>
      </c>
      <c r="B24">
        <v>795.2</v>
      </c>
      <c r="C24" s="1">
        <v>43188</v>
      </c>
      <c r="D24" s="6"/>
      <c r="E24" s="46">
        <v>0</v>
      </c>
      <c r="F24" s="33">
        <v>2973</v>
      </c>
      <c r="G24" s="1">
        <v>43156</v>
      </c>
      <c r="H24" s="6"/>
      <c r="I24" s="46">
        <v>0</v>
      </c>
      <c r="J24" s="33">
        <v>3959</v>
      </c>
      <c r="K24" s="1">
        <v>43201</v>
      </c>
      <c r="L24" s="6"/>
      <c r="M24" s="46">
        <v>0</v>
      </c>
      <c r="O24" s="91"/>
      <c r="P24" s="91"/>
      <c r="Q24" s="91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</row>
    <row r="25" spans="1:197" x14ac:dyDescent="0.2">
      <c r="A25" s="121" t="s">
        <v>17</v>
      </c>
      <c r="B25" s="11">
        <f>500+B24</f>
        <v>1295.2</v>
      </c>
      <c r="C25" s="64">
        <f>C24+8*365.25</f>
        <v>46110</v>
      </c>
      <c r="D25" s="64"/>
      <c r="E25" s="65">
        <f>3000+E24</f>
        <v>3000</v>
      </c>
      <c r="F25" s="36">
        <f>500+F24</f>
        <v>3473</v>
      </c>
      <c r="G25" s="64">
        <f>G24+8*365.25</f>
        <v>46078</v>
      </c>
      <c r="H25" s="64"/>
      <c r="I25" s="65">
        <f>3000+I24</f>
        <v>3000</v>
      </c>
      <c r="J25" s="36">
        <f>500+J24</f>
        <v>4459</v>
      </c>
      <c r="K25" s="64">
        <f>K24+8*365.25</f>
        <v>46123</v>
      </c>
      <c r="L25" s="64"/>
      <c r="M25" s="65">
        <f>3000+M24</f>
        <v>3000</v>
      </c>
      <c r="O25" s="91"/>
      <c r="P25" s="91"/>
      <c r="Q25" s="91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</row>
    <row r="26" spans="1:197" s="35" customFormat="1" x14ac:dyDescent="0.2">
      <c r="A26" s="121" t="s">
        <v>47</v>
      </c>
      <c r="B26" s="11">
        <f>500+B24-C12</f>
        <v>425.5</v>
      </c>
      <c r="D26" s="11"/>
      <c r="E26" s="43">
        <f>3000-E12-E24</f>
        <v>2715</v>
      </c>
      <c r="F26" s="36">
        <f>500+F24-G12</f>
        <v>406</v>
      </c>
      <c r="H26" s="11"/>
      <c r="I26" s="43">
        <f>3000-I12-I24</f>
        <v>2638</v>
      </c>
      <c r="J26" s="36">
        <f>500+J24-K12</f>
        <v>455.90000000000009</v>
      </c>
      <c r="L26" s="11"/>
      <c r="M26" s="43">
        <f>3000-M12-M24</f>
        <v>2840</v>
      </c>
      <c r="N26" s="33"/>
      <c r="O26" s="91"/>
      <c r="P26" s="91"/>
      <c r="Q26" s="91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</row>
    <row r="27" spans="1:197" ht="15.75" thickBot="1" x14ac:dyDescent="0.25">
      <c r="A27" s="115"/>
      <c r="O27" s="91"/>
      <c r="P27" s="91"/>
      <c r="Q27" s="91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</row>
    <row r="28" spans="1:197" s="39" customFormat="1" ht="15.75" thickTop="1" x14ac:dyDescent="0.2">
      <c r="A28" s="125" t="s">
        <v>18</v>
      </c>
      <c r="E28" s="44"/>
      <c r="F28" s="40"/>
      <c r="I28" s="44"/>
      <c r="J28" s="40"/>
      <c r="M28" s="44"/>
      <c r="N28" s="33"/>
      <c r="O28" s="91"/>
      <c r="P28" s="91"/>
      <c r="Q28" s="91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</row>
    <row r="29" spans="1:197" x14ac:dyDescent="0.2">
      <c r="A29" s="114" t="s">
        <v>16</v>
      </c>
      <c r="B29">
        <f>C4</f>
        <v>795.2</v>
      </c>
      <c r="C29" s="1">
        <v>43188</v>
      </c>
      <c r="D29" s="6"/>
      <c r="E29" s="46">
        <v>0</v>
      </c>
      <c r="F29" s="33">
        <f>G4</f>
        <v>2973</v>
      </c>
      <c r="G29" s="1">
        <v>43156</v>
      </c>
      <c r="H29" s="6"/>
      <c r="I29" s="46">
        <v>0</v>
      </c>
      <c r="J29" s="33">
        <f>K4</f>
        <v>3959</v>
      </c>
      <c r="K29" s="1">
        <v>43201</v>
      </c>
      <c r="L29" s="6"/>
      <c r="M29" s="46">
        <v>0</v>
      </c>
      <c r="O29" s="91"/>
      <c r="P29" s="91"/>
      <c r="Q29" s="91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</row>
    <row r="30" spans="1:197" x14ac:dyDescent="0.2">
      <c r="A30" s="121" t="s">
        <v>17</v>
      </c>
      <c r="B30" s="11">
        <f>1000+B29</f>
        <v>1795.2</v>
      </c>
      <c r="C30" s="64">
        <f>C29+16*365.25</f>
        <v>49032</v>
      </c>
      <c r="D30" s="64"/>
      <c r="E30" s="65">
        <f>5000+E29</f>
        <v>5000</v>
      </c>
      <c r="F30" s="36">
        <f>1000+F29</f>
        <v>3973</v>
      </c>
      <c r="G30" s="64">
        <f>G29+16*365.25</f>
        <v>49000</v>
      </c>
      <c r="H30" s="64"/>
      <c r="I30" s="65">
        <f>5000+I29</f>
        <v>5000</v>
      </c>
      <c r="J30" s="36">
        <f>1000+J29</f>
        <v>4959</v>
      </c>
      <c r="K30" s="64">
        <f>K29+16*365.25</f>
        <v>49045</v>
      </c>
      <c r="L30" s="64"/>
      <c r="M30" s="65">
        <f>5000+M29</f>
        <v>5000</v>
      </c>
      <c r="O30" s="91"/>
      <c r="P30" s="91"/>
      <c r="Q30" s="91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</row>
    <row r="31" spans="1:197" s="35" customFormat="1" x14ac:dyDescent="0.2">
      <c r="A31" s="121" t="s">
        <v>47</v>
      </c>
      <c r="B31" s="11">
        <f>1000+B24-C12</f>
        <v>925.5</v>
      </c>
      <c r="D31" s="11"/>
      <c r="E31" s="43">
        <f>5000-E29-E12</f>
        <v>4715</v>
      </c>
      <c r="F31" s="36">
        <f>1000+F24-G12</f>
        <v>906</v>
      </c>
      <c r="H31" s="11"/>
      <c r="I31" s="43">
        <f>5000-I29-I12</f>
        <v>4638</v>
      </c>
      <c r="J31" s="36">
        <f>1000+J24-K12</f>
        <v>955.90000000000009</v>
      </c>
      <c r="L31" s="11"/>
      <c r="M31" s="43">
        <f>5000-M29-M12</f>
        <v>4840</v>
      </c>
      <c r="N31" s="33"/>
      <c r="O31" s="91"/>
      <c r="P31" s="91"/>
      <c r="Q31" s="91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</row>
    <row r="32" spans="1:197" ht="15.75" thickBot="1" x14ac:dyDescent="0.25">
      <c r="A32" s="115"/>
      <c r="O32" s="91"/>
      <c r="P32" s="91"/>
      <c r="Q32" s="91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</row>
    <row r="33" spans="1:197" ht="15.75" thickTop="1" x14ac:dyDescent="0.2">
      <c r="A33" s="125" t="s">
        <v>49</v>
      </c>
      <c r="B33" s="39"/>
      <c r="C33" s="39"/>
      <c r="D33" s="39"/>
      <c r="E33" s="44"/>
      <c r="F33" s="40"/>
      <c r="G33" s="39"/>
      <c r="H33" s="39"/>
      <c r="I33" s="44"/>
      <c r="J33" s="40"/>
      <c r="K33" s="39"/>
      <c r="L33" s="39"/>
      <c r="M33" s="44"/>
      <c r="O33" s="91"/>
      <c r="P33" s="91"/>
      <c r="Q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</row>
    <row r="34" spans="1:197" x14ac:dyDescent="0.2">
      <c r="A34" s="114" t="s">
        <v>16</v>
      </c>
      <c r="B34" s="5">
        <v>748.5</v>
      </c>
      <c r="C34" s="6">
        <v>42658</v>
      </c>
      <c r="D34" s="6"/>
      <c r="E34" s="46">
        <v>0</v>
      </c>
      <c r="F34" s="33">
        <v>2075.8000000000002</v>
      </c>
      <c r="G34" s="6">
        <v>40515</v>
      </c>
      <c r="H34" s="6"/>
      <c r="I34" s="46">
        <v>0</v>
      </c>
      <c r="J34" s="33">
        <v>3784.9</v>
      </c>
      <c r="K34" s="6">
        <v>42650</v>
      </c>
      <c r="L34" s="6"/>
      <c r="M34" s="46">
        <v>0</v>
      </c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</row>
    <row r="35" spans="1:197" x14ac:dyDescent="0.2">
      <c r="A35" s="121" t="s">
        <v>17</v>
      </c>
      <c r="B35" s="94">
        <f>2000+B34</f>
        <v>2748.5</v>
      </c>
      <c r="C35" s="64">
        <f>C34+16*365.25</f>
        <v>48502</v>
      </c>
      <c r="D35" s="64"/>
      <c r="E35" s="65">
        <f>10000+E34</f>
        <v>10000</v>
      </c>
      <c r="F35" s="36">
        <f>2000+F34</f>
        <v>4075.8</v>
      </c>
      <c r="G35" s="64">
        <f>G34+16*365.25</f>
        <v>46359</v>
      </c>
      <c r="H35" s="64"/>
      <c r="I35" s="65">
        <f>10000+I34</f>
        <v>10000</v>
      </c>
      <c r="J35" s="36">
        <f>2000+J34</f>
        <v>5784.9</v>
      </c>
      <c r="K35" s="64">
        <f>K34+16*365.25</f>
        <v>48494</v>
      </c>
      <c r="L35" s="64"/>
      <c r="M35" s="65">
        <f>10000+M34</f>
        <v>10000</v>
      </c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</row>
    <row r="36" spans="1:197" x14ac:dyDescent="0.2">
      <c r="A36" s="121" t="s">
        <v>47</v>
      </c>
      <c r="B36" s="94">
        <f>B35-C12</f>
        <v>1878.8</v>
      </c>
      <c r="C36" s="35"/>
      <c r="D36" s="94"/>
      <c r="E36" s="95">
        <f>E35-E12</f>
        <v>9715</v>
      </c>
      <c r="F36" s="36">
        <f>F35-G12</f>
        <v>1008.8000000000002</v>
      </c>
      <c r="G36" s="35"/>
      <c r="H36" s="94"/>
      <c r="I36" s="95">
        <f>I35-I12</f>
        <v>9638</v>
      </c>
      <c r="J36" s="36">
        <f>J35-K12</f>
        <v>1781.7999999999997</v>
      </c>
      <c r="K36" s="35"/>
      <c r="L36" s="94"/>
      <c r="M36" s="95">
        <f>M35-M12</f>
        <v>9840</v>
      </c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</row>
    <row r="37" spans="1:197" ht="15.75" thickBot="1" x14ac:dyDescent="0.25">
      <c r="A37" s="115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</row>
    <row r="38" spans="1:197" ht="15.75" thickTop="1" x14ac:dyDescent="0.2">
      <c r="A38" s="125" t="s">
        <v>50</v>
      </c>
      <c r="B38" s="39"/>
      <c r="C38" s="39"/>
      <c r="D38" s="39"/>
      <c r="E38" s="44"/>
      <c r="F38" s="40"/>
      <c r="G38" s="39"/>
      <c r="H38" s="39"/>
      <c r="I38" s="44"/>
      <c r="J38" s="40"/>
      <c r="K38" s="39"/>
      <c r="L38" s="39"/>
      <c r="M38" s="44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</row>
    <row r="39" spans="1:197" x14ac:dyDescent="0.2">
      <c r="A39" s="114" t="s">
        <v>16</v>
      </c>
      <c r="B39" s="5">
        <v>748.5</v>
      </c>
      <c r="C39" s="6">
        <v>42658</v>
      </c>
      <c r="D39" s="6"/>
      <c r="F39" s="33">
        <v>2973</v>
      </c>
      <c r="G39" s="6">
        <v>43156</v>
      </c>
      <c r="H39" s="6"/>
      <c r="I39" s="42">
        <v>0</v>
      </c>
      <c r="J39" s="33">
        <v>4003.1</v>
      </c>
      <c r="K39" s="6">
        <v>43342</v>
      </c>
      <c r="L39" s="6"/>
      <c r="M39" s="42">
        <v>160</v>
      </c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</row>
    <row r="40" spans="1:197" x14ac:dyDescent="0.2">
      <c r="A40" s="121" t="s">
        <v>17</v>
      </c>
      <c r="B40" s="94">
        <f>2000+B39</f>
        <v>2748.5</v>
      </c>
      <c r="C40" s="64">
        <f>C39+16*365.25</f>
        <v>48502</v>
      </c>
      <c r="D40" s="64"/>
      <c r="E40" s="65">
        <f>10000+E39</f>
        <v>10000</v>
      </c>
      <c r="F40" s="36">
        <f>2000+F39</f>
        <v>4973</v>
      </c>
      <c r="G40" s="64">
        <f>G39+16*365.25</f>
        <v>49000</v>
      </c>
      <c r="H40" s="64"/>
      <c r="I40" s="65">
        <f>10000+I39</f>
        <v>10000</v>
      </c>
      <c r="J40" s="36">
        <f>2000+J39</f>
        <v>6003.1</v>
      </c>
      <c r="K40" s="64">
        <f>K39+16*365.25</f>
        <v>49186</v>
      </c>
      <c r="L40" s="64"/>
      <c r="M40" s="65">
        <f>10000+M39</f>
        <v>10160</v>
      </c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</row>
    <row r="41" spans="1:197" x14ac:dyDescent="0.2">
      <c r="A41" s="121" t="s">
        <v>47</v>
      </c>
      <c r="B41" s="94">
        <f>B40-C12</f>
        <v>1878.8</v>
      </c>
      <c r="C41" s="35"/>
      <c r="D41" s="94"/>
      <c r="E41" s="95">
        <f>E40-E12</f>
        <v>9715</v>
      </c>
      <c r="F41" s="36">
        <f>F40-G12</f>
        <v>1906</v>
      </c>
      <c r="G41" s="35"/>
      <c r="H41" s="94"/>
      <c r="I41" s="95">
        <f>I40-I12</f>
        <v>9638</v>
      </c>
      <c r="J41" s="36">
        <f>J40-K12</f>
        <v>2000.0000000000005</v>
      </c>
      <c r="K41" s="35"/>
      <c r="L41" s="94"/>
      <c r="M41" s="95">
        <f>M40-M12</f>
        <v>10000</v>
      </c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</row>
    <row r="42" spans="1:197" ht="15.75" thickBot="1" x14ac:dyDescent="0.25">
      <c r="A42" s="115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</row>
    <row r="43" spans="1:197" ht="15.75" thickTop="1" x14ac:dyDescent="0.2">
      <c r="A43" s="125" t="s">
        <v>51</v>
      </c>
      <c r="B43" s="39"/>
      <c r="C43" s="39"/>
      <c r="D43" s="39"/>
      <c r="E43" s="44"/>
      <c r="F43" s="40"/>
      <c r="G43" s="39"/>
      <c r="H43" s="39"/>
      <c r="I43" s="44"/>
      <c r="J43" s="40"/>
      <c r="K43" s="39"/>
      <c r="L43" s="39"/>
      <c r="M43" s="44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</row>
    <row r="44" spans="1:197" x14ac:dyDescent="0.2">
      <c r="A44" s="114" t="s">
        <v>16</v>
      </c>
      <c r="B44" s="5">
        <v>748.5</v>
      </c>
      <c r="C44" s="6">
        <v>42658</v>
      </c>
      <c r="D44" s="6"/>
      <c r="E44" s="42">
        <v>0</v>
      </c>
      <c r="F44" s="33">
        <v>3031</v>
      </c>
      <c r="G44" s="6">
        <v>43308</v>
      </c>
      <c r="H44" s="6" t="s">
        <v>19</v>
      </c>
      <c r="I44" s="42">
        <v>196</v>
      </c>
      <c r="J44" s="33">
        <v>4003.1</v>
      </c>
      <c r="K44" s="6">
        <v>43342</v>
      </c>
      <c r="L44" s="6"/>
      <c r="M44" s="42">
        <v>160</v>
      </c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</row>
    <row r="45" spans="1:197" x14ac:dyDescent="0.2">
      <c r="A45" s="121" t="s">
        <v>17</v>
      </c>
      <c r="B45" s="94">
        <f>4000+B44</f>
        <v>4748.5</v>
      </c>
      <c r="C45" s="64">
        <f>C44+16*365.25</f>
        <v>48502</v>
      </c>
      <c r="D45" s="64"/>
      <c r="E45" s="65">
        <f>20000+E44</f>
        <v>20000</v>
      </c>
      <c r="F45" s="36">
        <f>4000+F44</f>
        <v>7031</v>
      </c>
      <c r="G45" s="64">
        <f>G44+16*365.25</f>
        <v>49152</v>
      </c>
      <c r="H45" s="64"/>
      <c r="I45" s="65">
        <f>20000+I44</f>
        <v>20196</v>
      </c>
      <c r="J45" s="36">
        <f>4000+J44</f>
        <v>8003.1</v>
      </c>
      <c r="K45" s="64">
        <f>K44+16*365.25</f>
        <v>49186</v>
      </c>
      <c r="L45" s="64"/>
      <c r="M45" s="65">
        <f>20000+M44</f>
        <v>20160</v>
      </c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</row>
    <row r="46" spans="1:197" x14ac:dyDescent="0.2">
      <c r="A46" s="121" t="s">
        <v>47</v>
      </c>
      <c r="B46" s="94">
        <f>B45-C12</f>
        <v>3878.8</v>
      </c>
      <c r="C46" s="35"/>
      <c r="D46" s="94"/>
      <c r="E46" s="95">
        <f>E45-E12</f>
        <v>19715</v>
      </c>
      <c r="F46" s="36">
        <f>F45-G12</f>
        <v>3964</v>
      </c>
      <c r="G46" s="35"/>
      <c r="H46" s="94"/>
      <c r="I46" s="95">
        <f>I45-I12</f>
        <v>19834</v>
      </c>
      <c r="J46" s="36">
        <f>J45-K12</f>
        <v>4000.0000000000005</v>
      </c>
      <c r="K46" s="35"/>
      <c r="L46" s="94"/>
      <c r="M46" s="95">
        <f>M45-M12</f>
        <v>20000</v>
      </c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</row>
    <row r="47" spans="1:197" ht="15.75" thickBot="1" x14ac:dyDescent="0.25">
      <c r="A47" s="115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</row>
    <row r="48" spans="1:197" ht="15.75" thickTop="1" x14ac:dyDescent="0.2">
      <c r="A48" s="125" t="s">
        <v>75</v>
      </c>
      <c r="B48" s="39"/>
      <c r="C48" s="39"/>
      <c r="D48" s="39"/>
      <c r="E48" s="44"/>
      <c r="F48" s="100"/>
      <c r="G48" s="39"/>
      <c r="H48" s="39"/>
      <c r="I48" s="44"/>
      <c r="J48" s="100"/>
      <c r="K48" s="39"/>
      <c r="L48" s="39"/>
      <c r="M48" s="44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</row>
    <row r="49" spans="1:49" x14ac:dyDescent="0.2">
      <c r="A49" s="114" t="s">
        <v>16</v>
      </c>
      <c r="B49" s="5">
        <v>748.5</v>
      </c>
      <c r="C49" s="6">
        <v>42658</v>
      </c>
      <c r="D49" s="6"/>
      <c r="F49" s="63">
        <v>2797.3</v>
      </c>
      <c r="G49" s="108">
        <v>42501</v>
      </c>
      <c r="H49" s="108"/>
      <c r="I49" s="62"/>
      <c r="J49" s="104"/>
      <c r="K49" s="105"/>
      <c r="L49" s="105"/>
      <c r="M49" s="106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</row>
    <row r="50" spans="1:49" x14ac:dyDescent="0.2">
      <c r="A50" s="121" t="s">
        <v>17</v>
      </c>
      <c r="B50" s="11">
        <f>2000+B49</f>
        <v>2748.5</v>
      </c>
      <c r="C50" s="64">
        <f>C49+16*365.25</f>
        <v>48502</v>
      </c>
      <c r="D50" s="64"/>
      <c r="E50" s="65">
        <f>10000+E49</f>
        <v>10000</v>
      </c>
      <c r="F50" s="11">
        <f>2000+F49</f>
        <v>4797.3</v>
      </c>
      <c r="G50" s="64">
        <f>G49+16*365.25</f>
        <v>48345</v>
      </c>
      <c r="H50" s="64"/>
      <c r="I50" s="65">
        <f>10000+I49</f>
        <v>10000</v>
      </c>
      <c r="J50" s="36"/>
      <c r="K50" s="64"/>
      <c r="L50" s="64"/>
      <c r="M50" s="65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</row>
    <row r="51" spans="1:49" x14ac:dyDescent="0.2">
      <c r="A51" s="121" t="s">
        <v>47</v>
      </c>
      <c r="B51" s="94">
        <f>B50-C12</f>
        <v>1878.8</v>
      </c>
      <c r="C51" s="35"/>
      <c r="D51" s="94"/>
      <c r="E51" s="95">
        <f>E50-E12</f>
        <v>9715</v>
      </c>
      <c r="F51" s="94">
        <f>F50-G12</f>
        <v>1730.3000000000002</v>
      </c>
      <c r="G51" s="35"/>
      <c r="H51" s="94"/>
      <c r="I51" s="95">
        <f>I50-I12</f>
        <v>9638</v>
      </c>
      <c r="J51" s="36"/>
      <c r="K51" s="35"/>
      <c r="L51" s="11"/>
      <c r="M51" s="43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</row>
    <row r="52" spans="1:49" ht="15.75" thickBot="1" x14ac:dyDescent="0.25">
      <c r="A52" s="115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</row>
    <row r="53" spans="1:49" ht="15.75" thickTop="1" x14ac:dyDescent="0.2">
      <c r="A53" s="125" t="s">
        <v>52</v>
      </c>
      <c r="B53" s="39"/>
      <c r="C53" s="39"/>
      <c r="D53" s="39"/>
      <c r="E53" s="44"/>
      <c r="F53" s="100" t="s">
        <v>53</v>
      </c>
      <c r="G53" s="39"/>
      <c r="H53" s="39"/>
      <c r="I53" s="44"/>
      <c r="J53" s="100" t="s">
        <v>53</v>
      </c>
      <c r="K53" s="39"/>
      <c r="L53" s="39"/>
      <c r="M53" s="44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</row>
    <row r="54" spans="1:49" x14ac:dyDescent="0.2">
      <c r="A54" s="114" t="s">
        <v>16</v>
      </c>
      <c r="B54" s="5">
        <v>748.5</v>
      </c>
      <c r="C54" s="6">
        <v>42658</v>
      </c>
      <c r="D54" s="6"/>
      <c r="E54" s="42">
        <v>0</v>
      </c>
      <c r="G54" s="6"/>
      <c r="H54" s="6"/>
      <c r="K54" s="6"/>
      <c r="L54" s="6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</row>
    <row r="55" spans="1:49" x14ac:dyDescent="0.2">
      <c r="A55" s="121" t="s">
        <v>17</v>
      </c>
      <c r="B55" s="11"/>
      <c r="C55" s="64">
        <f>C54+4*365.25</f>
        <v>44119</v>
      </c>
      <c r="D55" s="64"/>
      <c r="E55" s="65">
        <f>2000+E54</f>
        <v>2000</v>
      </c>
      <c r="F55" s="36"/>
      <c r="G55" s="64"/>
      <c r="H55" s="64"/>
      <c r="I55" s="65"/>
      <c r="J55" s="36"/>
      <c r="K55" s="64"/>
      <c r="L55" s="64"/>
      <c r="M55" s="65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</row>
    <row r="56" spans="1:49" x14ac:dyDescent="0.2">
      <c r="A56" s="121" t="s">
        <v>47</v>
      </c>
      <c r="B56" s="11"/>
      <c r="C56" s="35"/>
      <c r="D56" s="94"/>
      <c r="E56" s="95">
        <f>E55-E12</f>
        <v>1715</v>
      </c>
      <c r="F56" s="36"/>
      <c r="G56" s="35"/>
      <c r="H56" s="11"/>
      <c r="I56" s="43"/>
      <c r="J56" s="36"/>
      <c r="K56" s="35"/>
      <c r="L56" s="11"/>
      <c r="M56" s="43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</row>
    <row r="57" spans="1:49" ht="15.75" thickBot="1" x14ac:dyDescent="0.25">
      <c r="A57" s="115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</row>
    <row r="58" spans="1:49" ht="15.75" thickTop="1" x14ac:dyDescent="0.2">
      <c r="A58" s="38" t="s">
        <v>74</v>
      </c>
      <c r="B58" s="39"/>
      <c r="C58" s="39"/>
      <c r="D58" s="39"/>
      <c r="E58" s="44"/>
      <c r="F58" s="40"/>
      <c r="G58" s="39"/>
      <c r="H58" s="39"/>
      <c r="I58" s="44"/>
      <c r="J58" s="40"/>
      <c r="K58" s="39"/>
      <c r="L58" s="39"/>
      <c r="M58" s="44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</row>
    <row r="59" spans="1:49" x14ac:dyDescent="0.2">
      <c r="A59" s="114" t="s">
        <v>16</v>
      </c>
      <c r="B59" s="5"/>
      <c r="C59" s="6"/>
      <c r="D59" s="6"/>
      <c r="G59" s="6">
        <v>37438</v>
      </c>
      <c r="H59" s="6"/>
      <c r="K59" s="6">
        <v>37469</v>
      </c>
      <c r="L59" s="6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</row>
    <row r="60" spans="1:49" x14ac:dyDescent="0.2">
      <c r="A60" s="121" t="s">
        <v>17</v>
      </c>
      <c r="B60" s="11"/>
      <c r="C60" s="64" t="s">
        <v>73</v>
      </c>
      <c r="D60" s="64"/>
      <c r="E60" s="65"/>
      <c r="F60" s="36"/>
      <c r="G60" s="64">
        <f>G59+12*365.25</f>
        <v>41821</v>
      </c>
      <c r="H60" s="64"/>
      <c r="I60" s="65"/>
      <c r="J60" s="36"/>
      <c r="K60" s="64">
        <f>K59+12*365.25</f>
        <v>41852</v>
      </c>
      <c r="L60" s="64"/>
      <c r="M60" s="65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</row>
    <row r="61" spans="1:49" s="52" customFormat="1" ht="15.75" thickBot="1" x14ac:dyDescent="0.25">
      <c r="A61" s="115"/>
      <c r="E61" s="53"/>
      <c r="F61" s="54"/>
      <c r="I61" s="53"/>
      <c r="J61" s="54"/>
      <c r="M61" s="53"/>
      <c r="N61" s="33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</row>
    <row r="62" spans="1:49" s="5" customFormat="1" ht="15.75" thickTop="1" x14ac:dyDescent="0.2">
      <c r="A62" s="38" t="s">
        <v>62</v>
      </c>
      <c r="B62" s="39"/>
      <c r="C62" s="39"/>
      <c r="D62" s="39"/>
      <c r="E62" s="44"/>
      <c r="F62" s="40"/>
      <c r="G62" s="39"/>
      <c r="H62" s="39"/>
      <c r="I62" s="44"/>
      <c r="J62" s="40"/>
      <c r="K62" s="39"/>
      <c r="L62" s="39"/>
      <c r="M62" s="44"/>
      <c r="N62" s="33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</row>
    <row r="63" spans="1:49" s="5" customFormat="1" x14ac:dyDescent="0.2">
      <c r="A63" s="114" t="s">
        <v>16</v>
      </c>
      <c r="B63" s="5">
        <v>748.5</v>
      </c>
      <c r="C63" s="6">
        <v>42658</v>
      </c>
      <c r="D63" s="6"/>
      <c r="E63" s="42"/>
      <c r="F63" s="33">
        <v>2345.3000000000002</v>
      </c>
      <c r="G63" s="6">
        <v>40773</v>
      </c>
      <c r="H63" s="6"/>
      <c r="I63" s="42"/>
      <c r="J63" s="104"/>
      <c r="K63" s="105"/>
      <c r="L63" s="6"/>
      <c r="M63" s="42"/>
      <c r="N63" s="33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</row>
    <row r="64" spans="1:49" s="5" customFormat="1" x14ac:dyDescent="0.2">
      <c r="A64" s="121" t="s">
        <v>17</v>
      </c>
      <c r="B64" s="94" t="s">
        <v>68</v>
      </c>
      <c r="C64" s="64"/>
      <c r="D64" s="64"/>
      <c r="E64" s="65"/>
      <c r="F64" s="36" t="s">
        <v>68</v>
      </c>
      <c r="G64" s="64"/>
      <c r="H64" s="64"/>
      <c r="I64" s="65"/>
      <c r="J64" s="36">
        <f>100+J63</f>
        <v>100</v>
      </c>
      <c r="K64" s="64"/>
      <c r="L64" s="64"/>
      <c r="M64" s="65"/>
      <c r="N64" s="33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</row>
    <row r="65" spans="1:49" s="5" customFormat="1" x14ac:dyDescent="0.2">
      <c r="A65" s="121" t="s">
        <v>47</v>
      </c>
      <c r="B65" s="94"/>
      <c r="C65" s="35"/>
      <c r="D65" s="94"/>
      <c r="E65" s="95"/>
      <c r="F65" s="36" t="s">
        <v>69</v>
      </c>
      <c r="G65" s="35"/>
      <c r="H65" s="94"/>
      <c r="I65" s="95"/>
      <c r="J65" s="36">
        <f>J64-K39</f>
        <v>-43242</v>
      </c>
      <c r="K65" s="35"/>
      <c r="L65" s="94"/>
      <c r="M65" s="95"/>
      <c r="N65" s="33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</row>
    <row r="66" spans="1:49" s="5" customFormat="1" ht="15.75" thickBot="1" x14ac:dyDescent="0.25">
      <c r="A66" s="115"/>
      <c r="E66" s="42"/>
      <c r="F66" s="33"/>
      <c r="I66" s="42"/>
      <c r="J66" s="33"/>
      <c r="M66" s="42"/>
      <c r="N66" s="33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</row>
    <row r="67" spans="1:49" s="5" customFormat="1" ht="15.75" thickTop="1" x14ac:dyDescent="0.2">
      <c r="A67" s="38" t="s">
        <v>65</v>
      </c>
      <c r="B67" s="39"/>
      <c r="C67" s="39"/>
      <c r="D67" s="39"/>
      <c r="E67" s="44"/>
      <c r="F67" s="40"/>
      <c r="G67" s="39"/>
      <c r="H67" s="39"/>
      <c r="I67" s="44"/>
      <c r="J67" s="40"/>
      <c r="K67" s="39"/>
      <c r="L67" s="39"/>
      <c r="M67" s="44"/>
      <c r="N67" s="33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</row>
    <row r="68" spans="1:49" s="5" customFormat="1" x14ac:dyDescent="0.2">
      <c r="A68" s="114" t="s">
        <v>16</v>
      </c>
      <c r="B68" s="5">
        <v>299.2</v>
      </c>
      <c r="C68" s="6" t="s">
        <v>19</v>
      </c>
      <c r="D68" s="6"/>
      <c r="E68" s="42"/>
      <c r="F68" s="33">
        <v>2703.7</v>
      </c>
      <c r="G68" s="6"/>
      <c r="H68" s="6"/>
      <c r="I68" s="42"/>
      <c r="J68" s="33">
        <v>3784.9</v>
      </c>
      <c r="K68" s="6"/>
      <c r="L68" s="6"/>
      <c r="M68" s="42"/>
      <c r="N68" s="33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</row>
    <row r="69" spans="1:49" s="5" customFormat="1" x14ac:dyDescent="0.2">
      <c r="A69" s="121" t="s">
        <v>17</v>
      </c>
      <c r="B69" s="94">
        <f>1000+B68</f>
        <v>1299.2</v>
      </c>
      <c r="C69" s="64" t="s">
        <v>19</v>
      </c>
      <c r="D69" s="64"/>
      <c r="E69" s="65"/>
      <c r="F69" s="36">
        <f>1000+F68</f>
        <v>3703.7</v>
      </c>
      <c r="G69" s="64"/>
      <c r="H69" s="64"/>
      <c r="I69" s="65"/>
      <c r="J69" s="36">
        <f>1000+J68</f>
        <v>4784.8999999999996</v>
      </c>
      <c r="K69" s="64"/>
      <c r="L69" s="64"/>
      <c r="M69" s="65"/>
      <c r="N69" s="33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</row>
    <row r="70" spans="1:49" s="5" customFormat="1" x14ac:dyDescent="0.2">
      <c r="A70" s="121" t="s">
        <v>47</v>
      </c>
      <c r="B70" s="94">
        <f>B69-C12</f>
        <v>429.5</v>
      </c>
      <c r="C70" s="35"/>
      <c r="D70" s="94"/>
      <c r="E70" s="95"/>
      <c r="F70" s="36">
        <f>F69-G12</f>
        <v>636.69999999999982</v>
      </c>
      <c r="G70" s="35"/>
      <c r="H70" s="94"/>
      <c r="I70" s="95"/>
      <c r="J70" s="36">
        <f>J69-K12</f>
        <v>781.79999999999973</v>
      </c>
      <c r="K70" s="35"/>
      <c r="L70" s="94"/>
      <c r="M70" s="95"/>
      <c r="N70" s="33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</row>
    <row r="71" spans="1:49" s="5" customFormat="1" ht="15.75" thickBot="1" x14ac:dyDescent="0.25">
      <c r="A71" s="115"/>
      <c r="E71" s="42"/>
      <c r="F71" s="33"/>
      <c r="I71" s="42"/>
      <c r="J71" s="33"/>
      <c r="M71" s="42"/>
      <c r="N71" s="33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</row>
    <row r="72" spans="1:49" s="5" customFormat="1" ht="15.75" thickTop="1" x14ac:dyDescent="0.2">
      <c r="A72" s="38" t="s">
        <v>64</v>
      </c>
      <c r="B72" s="39"/>
      <c r="C72" s="39"/>
      <c r="D72" s="39"/>
      <c r="E72" s="44"/>
      <c r="F72" s="40"/>
      <c r="G72" s="39"/>
      <c r="H72" s="39"/>
      <c r="I72" s="44"/>
      <c r="J72" s="40"/>
      <c r="K72" s="39"/>
      <c r="L72" s="39"/>
      <c r="M72" s="44"/>
      <c r="N72" s="33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</row>
    <row r="73" spans="1:49" s="5" customFormat="1" x14ac:dyDescent="0.2">
      <c r="A73" s="114" t="s">
        <v>16</v>
      </c>
      <c r="C73" s="6">
        <v>43188</v>
      </c>
      <c r="D73" s="6"/>
      <c r="E73" s="42"/>
      <c r="F73" s="33"/>
      <c r="G73" s="6">
        <v>39840</v>
      </c>
      <c r="H73" s="6"/>
      <c r="I73" s="42"/>
      <c r="J73" s="33"/>
      <c r="K73" s="6">
        <v>43201</v>
      </c>
      <c r="L73" s="6"/>
      <c r="M73" s="42"/>
      <c r="N73" s="33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</row>
    <row r="74" spans="1:49" s="5" customFormat="1" x14ac:dyDescent="0.2">
      <c r="A74" s="121" t="s">
        <v>17</v>
      </c>
      <c r="B74" s="94"/>
      <c r="C74" s="64">
        <f>C73+365.25</f>
        <v>43553.25</v>
      </c>
      <c r="D74" s="64"/>
      <c r="E74" s="65"/>
      <c r="F74" s="36" t="s">
        <v>67</v>
      </c>
      <c r="G74" s="64"/>
      <c r="H74" s="64"/>
      <c r="I74" s="65"/>
      <c r="J74" s="36"/>
      <c r="K74" s="64">
        <f>K73+365.25</f>
        <v>43566.25</v>
      </c>
      <c r="L74" s="64"/>
      <c r="M74" s="65"/>
      <c r="N74" s="33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</row>
    <row r="75" spans="1:49" s="5" customFormat="1" x14ac:dyDescent="0.2">
      <c r="A75" s="121" t="s">
        <v>47</v>
      </c>
      <c r="B75" s="94"/>
      <c r="C75" s="35"/>
      <c r="D75" s="94"/>
      <c r="E75" s="95"/>
      <c r="F75" s="36"/>
      <c r="G75" s="35"/>
      <c r="H75" s="94"/>
      <c r="I75" s="95"/>
      <c r="J75" s="36"/>
      <c r="K75" s="35"/>
      <c r="L75" s="94"/>
      <c r="M75" s="95"/>
      <c r="N75" s="33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</row>
    <row r="76" spans="1:49" s="5" customFormat="1" ht="15.75" thickBot="1" x14ac:dyDescent="0.25">
      <c r="A76" s="115"/>
      <c r="E76" s="42"/>
      <c r="F76" s="33"/>
      <c r="I76" s="42"/>
      <c r="J76" s="33"/>
      <c r="M76" s="42"/>
      <c r="N76" s="33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</row>
    <row r="77" spans="1:49" s="5" customFormat="1" ht="15.75" thickTop="1" x14ac:dyDescent="0.2">
      <c r="A77" s="38" t="s">
        <v>63</v>
      </c>
      <c r="B77" s="39"/>
      <c r="C77" s="39"/>
      <c r="D77" s="39"/>
      <c r="E77" s="44"/>
      <c r="F77" s="40"/>
      <c r="G77" s="39"/>
      <c r="H77" s="39"/>
      <c r="I77" s="44"/>
      <c r="J77" s="40"/>
      <c r="K77" s="39"/>
      <c r="L77" s="39"/>
      <c r="M77" s="44"/>
      <c r="N77" s="33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</row>
    <row r="78" spans="1:49" s="5" customFormat="1" x14ac:dyDescent="0.2">
      <c r="A78" s="114" t="s">
        <v>16</v>
      </c>
      <c r="B78" s="5">
        <v>748.5</v>
      </c>
      <c r="C78" s="6">
        <v>42658</v>
      </c>
      <c r="D78" s="6"/>
      <c r="E78" s="42"/>
      <c r="F78" s="33">
        <v>2345.3000000000002</v>
      </c>
      <c r="G78" s="6">
        <v>40773</v>
      </c>
      <c r="H78" s="6"/>
      <c r="I78" s="42"/>
      <c r="J78" s="33"/>
      <c r="K78" s="6">
        <v>40572</v>
      </c>
      <c r="L78" s="6"/>
      <c r="M78" s="42"/>
      <c r="N78" s="33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</row>
    <row r="79" spans="1:49" s="5" customFormat="1" x14ac:dyDescent="0.2">
      <c r="A79" s="121" t="s">
        <v>17</v>
      </c>
      <c r="B79" s="94" t="s">
        <v>70</v>
      </c>
      <c r="C79" s="64"/>
      <c r="D79" s="64"/>
      <c r="E79" s="65"/>
      <c r="F79" s="36" t="s">
        <v>70</v>
      </c>
      <c r="G79" s="64"/>
      <c r="H79" s="64"/>
      <c r="I79" s="65"/>
      <c r="J79" s="36" t="s">
        <v>70</v>
      </c>
      <c r="K79" s="64"/>
      <c r="L79" s="64"/>
      <c r="M79" s="65"/>
      <c r="N79" s="33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</row>
    <row r="80" spans="1:49" s="5" customFormat="1" x14ac:dyDescent="0.2">
      <c r="A80" s="121"/>
      <c r="B80" s="94"/>
      <c r="C80" s="35"/>
      <c r="D80" s="94"/>
      <c r="E80" s="95"/>
      <c r="F80" s="36"/>
      <c r="G80" s="35"/>
      <c r="H80" s="94"/>
      <c r="I80" s="95"/>
      <c r="J80" s="36"/>
      <c r="K80" s="35"/>
      <c r="L80" s="94"/>
      <c r="M80" s="95"/>
      <c r="N80" s="33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</row>
    <row r="81" spans="1:53" s="5" customFormat="1" ht="15.75" thickBot="1" x14ac:dyDescent="0.25">
      <c r="A81" s="128"/>
      <c r="E81" s="42"/>
      <c r="F81" s="33"/>
      <c r="I81" s="42"/>
      <c r="J81" s="33"/>
      <c r="M81" s="42"/>
      <c r="N81" s="33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</row>
    <row r="82" spans="1:53" s="96" customFormat="1" ht="16.5" thickTop="1" thickBot="1" x14ac:dyDescent="0.25">
      <c r="A82" s="129" t="s">
        <v>66</v>
      </c>
      <c r="B82" s="101">
        <f>MIN(B69,B64,B50,B45,B40,B35,B30,B25,B20)</f>
        <v>895.2</v>
      </c>
      <c r="C82" s="102">
        <f>MIN(C74,C17,C55,C50,C45,C40,C35,C30,C25,C20)</f>
        <v>43553.25</v>
      </c>
      <c r="D82" s="101"/>
      <c r="E82" s="130"/>
      <c r="F82" s="101">
        <f>MIN(F69,F64,F50,F45,F40,F35,F30,F25,F20)</f>
        <v>3073</v>
      </c>
      <c r="G82" s="102">
        <f>MIN(G74,G17,G55,G50,G45,G40,G35,G30,G25,G20)</f>
        <v>43465</v>
      </c>
      <c r="H82" s="101"/>
      <c r="I82" s="130"/>
      <c r="J82" s="101">
        <f>MIN(J69,J64,J50,J45,J40,J35,J30,J25,J20)</f>
        <v>100</v>
      </c>
      <c r="K82" s="102">
        <f>MIN(K74,K17,K55,K50,K45,K40,K35,K30,K25,K20)</f>
        <v>43566.25</v>
      </c>
      <c r="L82" s="101"/>
      <c r="M82" s="130"/>
      <c r="N82" s="101"/>
      <c r="O82" s="102">
        <f>MIN(O74,O17,O55,O50,O45,O40,O35,O30,O25,O20)</f>
        <v>43585</v>
      </c>
      <c r="P82" s="101"/>
      <c r="Q82" s="103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</row>
    <row r="83" spans="1:53" s="98" customFormat="1" ht="15.75" thickTop="1" x14ac:dyDescent="0.2">
      <c r="A83" s="91"/>
      <c r="B83" s="91"/>
      <c r="C83" s="91"/>
      <c r="D83" s="91"/>
      <c r="E83" s="97"/>
      <c r="F83" s="91"/>
      <c r="G83" s="91"/>
      <c r="H83" s="91"/>
      <c r="I83" s="97"/>
      <c r="J83" s="91"/>
      <c r="K83" s="91"/>
      <c r="L83" s="91"/>
      <c r="M83" s="97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</row>
    <row r="84" spans="1:53" s="91" customFormat="1" x14ac:dyDescent="0.2">
      <c r="E84" s="97"/>
      <c r="I84" s="97"/>
      <c r="M84" s="97"/>
    </row>
    <row r="85" spans="1:53" s="91" customFormat="1" x14ac:dyDescent="0.2">
      <c r="E85" s="97"/>
      <c r="I85" s="97"/>
      <c r="M85" s="97"/>
    </row>
    <row r="86" spans="1:53" s="91" customFormat="1" x14ac:dyDescent="0.2">
      <c r="E86" s="97"/>
      <c r="I86" s="97"/>
      <c r="M86" s="97"/>
    </row>
    <row r="87" spans="1:53" s="91" customFormat="1" x14ac:dyDescent="0.2">
      <c r="E87" s="97"/>
      <c r="I87" s="97"/>
      <c r="M87" s="97"/>
    </row>
    <row r="88" spans="1:53" s="91" customFormat="1" x14ac:dyDescent="0.2">
      <c r="E88" s="97"/>
      <c r="I88" s="97"/>
      <c r="M88" s="97"/>
    </row>
    <row r="89" spans="1:53" s="91" customFormat="1" x14ac:dyDescent="0.2">
      <c r="E89" s="97"/>
      <c r="I89" s="97"/>
      <c r="M89" s="97"/>
    </row>
    <row r="90" spans="1:53" s="91" customFormat="1" x14ac:dyDescent="0.2">
      <c r="E90" s="97"/>
      <c r="I90" s="97"/>
      <c r="M90" s="97"/>
    </row>
    <row r="91" spans="1:53" s="91" customFormat="1" x14ac:dyDescent="0.2">
      <c r="E91" s="97"/>
      <c r="I91" s="97"/>
      <c r="M91" s="97"/>
    </row>
    <row r="92" spans="1:53" s="91" customFormat="1" x14ac:dyDescent="0.2">
      <c r="E92" s="97"/>
      <c r="I92" s="97"/>
      <c r="M92" s="97"/>
    </row>
    <row r="93" spans="1:53" s="91" customFormat="1" x14ac:dyDescent="0.2">
      <c r="E93" s="97"/>
      <c r="I93" s="97"/>
      <c r="M93" s="97"/>
    </row>
    <row r="94" spans="1:53" s="91" customFormat="1" x14ac:dyDescent="0.2">
      <c r="E94" s="97"/>
      <c r="I94" s="97"/>
      <c r="M94" s="97"/>
    </row>
    <row r="95" spans="1:53" s="91" customFormat="1" x14ac:dyDescent="0.2">
      <c r="E95" s="97"/>
      <c r="I95" s="97"/>
      <c r="M95" s="97"/>
    </row>
    <row r="96" spans="1:53" s="91" customFormat="1" x14ac:dyDescent="0.2">
      <c r="E96" s="97"/>
      <c r="I96" s="97"/>
      <c r="M96" s="97"/>
    </row>
    <row r="97" spans="5:13" s="91" customFormat="1" x14ac:dyDescent="0.2">
      <c r="E97" s="97"/>
      <c r="I97" s="97"/>
      <c r="M97" s="97"/>
    </row>
    <row r="98" spans="5:13" s="91" customFormat="1" x14ac:dyDescent="0.2">
      <c r="E98" s="97"/>
      <c r="I98" s="97"/>
      <c r="M98" s="97"/>
    </row>
    <row r="99" spans="5:13" s="91" customFormat="1" x14ac:dyDescent="0.2">
      <c r="E99" s="97"/>
      <c r="I99" s="97"/>
      <c r="M99" s="97"/>
    </row>
    <row r="100" spans="5:13" s="91" customFormat="1" x14ac:dyDescent="0.2">
      <c r="E100" s="97"/>
      <c r="I100" s="97"/>
      <c r="M100" s="97"/>
    </row>
    <row r="101" spans="5:13" s="91" customFormat="1" x14ac:dyDescent="0.2">
      <c r="E101" s="97"/>
      <c r="I101" s="97"/>
      <c r="M101" s="97"/>
    </row>
    <row r="102" spans="5:13" s="91" customFormat="1" x14ac:dyDescent="0.2">
      <c r="E102" s="97"/>
      <c r="I102" s="97"/>
      <c r="M102" s="97"/>
    </row>
    <row r="103" spans="5:13" s="91" customFormat="1" x14ac:dyDescent="0.2">
      <c r="E103" s="97"/>
      <c r="I103" s="97"/>
      <c r="M103" s="97"/>
    </row>
    <row r="104" spans="5:13" s="91" customFormat="1" x14ac:dyDescent="0.2">
      <c r="E104" s="97"/>
      <c r="I104" s="97"/>
      <c r="M104" s="97"/>
    </row>
    <row r="105" spans="5:13" s="91" customFormat="1" x14ac:dyDescent="0.2">
      <c r="E105" s="97"/>
      <c r="I105" s="97"/>
      <c r="M105" s="97"/>
    </row>
    <row r="106" spans="5:13" s="91" customFormat="1" x14ac:dyDescent="0.2">
      <c r="E106" s="97"/>
      <c r="I106" s="97"/>
      <c r="M106" s="97"/>
    </row>
    <row r="107" spans="5:13" s="91" customFormat="1" x14ac:dyDescent="0.2">
      <c r="E107" s="97"/>
      <c r="I107" s="97"/>
      <c r="M107" s="97"/>
    </row>
    <row r="108" spans="5:13" s="91" customFormat="1" x14ac:dyDescent="0.2">
      <c r="E108" s="97"/>
      <c r="I108" s="97"/>
      <c r="M108" s="97"/>
    </row>
    <row r="109" spans="5:13" s="91" customFormat="1" x14ac:dyDescent="0.2">
      <c r="E109" s="97"/>
      <c r="I109" s="97"/>
      <c r="M109" s="97"/>
    </row>
    <row r="110" spans="5:13" s="91" customFormat="1" x14ac:dyDescent="0.2">
      <c r="E110" s="97"/>
      <c r="I110" s="97"/>
      <c r="M110" s="97"/>
    </row>
    <row r="111" spans="5:13" s="91" customFormat="1" x14ac:dyDescent="0.2">
      <c r="E111" s="97"/>
      <c r="I111" s="97"/>
      <c r="M111" s="97"/>
    </row>
    <row r="112" spans="5:13" s="91" customFormat="1" x14ac:dyDescent="0.2">
      <c r="E112" s="97"/>
      <c r="I112" s="97"/>
      <c r="M112" s="97"/>
    </row>
    <row r="113" spans="5:13" s="91" customFormat="1" x14ac:dyDescent="0.2">
      <c r="E113" s="97"/>
      <c r="I113" s="97"/>
      <c r="M113" s="97"/>
    </row>
    <row r="114" spans="5:13" s="91" customFormat="1" x14ac:dyDescent="0.2">
      <c r="E114" s="97"/>
      <c r="I114" s="97"/>
      <c r="M114" s="97"/>
    </row>
  </sheetData>
  <conditionalFormatting sqref="B82">
    <cfRule type="cellIs" dxfId="3" priority="6" operator="lessThan">
      <formula>$C$12</formula>
    </cfRule>
  </conditionalFormatting>
  <conditionalFormatting sqref="F82">
    <cfRule type="cellIs" dxfId="2" priority="5" operator="lessThan">
      <formula>$C$12</formula>
    </cfRule>
  </conditionalFormatting>
  <conditionalFormatting sqref="J82">
    <cfRule type="cellIs" dxfId="1" priority="4" operator="lessThan">
      <formula>$C$12</formula>
    </cfRule>
  </conditionalFormatting>
  <conditionalFormatting sqref="N82">
    <cfRule type="cellIs" dxfId="0" priority="1" operator="lessThan">
      <formula>$C$12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 xr3:uid="{958C4451-9541-5A59-BF78-D2F731DF1C81}">
      <selection activeCell="F5" sqref="F5"/>
    </sheetView>
  </sheetViews>
  <sheetFormatPr defaultRowHeight="15" x14ac:dyDescent="0.2"/>
  <cols>
    <col min="1" max="1" width="31.609375" customWidth="1"/>
    <col min="2" max="2" width="11.43359375" customWidth="1"/>
    <col min="3" max="3" width="11.02734375" customWidth="1"/>
    <col min="4" max="4" width="10.35546875" customWidth="1"/>
    <col min="6" max="6" width="9.28125" customWidth="1"/>
  </cols>
  <sheetData>
    <row r="1" spans="1:9" ht="27.75" x14ac:dyDescent="0.2">
      <c r="A1" s="12" t="s">
        <v>22</v>
      </c>
      <c r="B1" s="12" t="s">
        <v>23</v>
      </c>
      <c r="C1" s="12" t="s">
        <v>24</v>
      </c>
      <c r="D1" s="12" t="s">
        <v>25</v>
      </c>
      <c r="E1" s="12" t="s">
        <v>26</v>
      </c>
      <c r="F1" s="12" t="s">
        <v>27</v>
      </c>
      <c r="G1" s="12" t="s">
        <v>28</v>
      </c>
      <c r="H1" s="13"/>
      <c r="I1" s="14" t="s">
        <v>36</v>
      </c>
    </row>
    <row r="2" spans="1:9" s="25" customFormat="1" x14ac:dyDescent="0.2">
      <c r="A2" s="26" t="s">
        <v>71</v>
      </c>
      <c r="B2" s="24"/>
      <c r="C2" s="24"/>
      <c r="D2" s="24"/>
      <c r="E2" s="74"/>
      <c r="F2" s="75"/>
      <c r="G2" s="24"/>
      <c r="I2" s="3"/>
    </row>
    <row r="3" spans="1:9" s="5" customFormat="1" x14ac:dyDescent="0.2">
      <c r="A3" s="15" t="s">
        <v>34</v>
      </c>
      <c r="B3" s="12"/>
      <c r="C3" s="12"/>
      <c r="D3" s="12"/>
      <c r="E3" s="12"/>
      <c r="F3" s="12"/>
      <c r="G3" s="12"/>
      <c r="H3" s="13"/>
      <c r="I3" s="13"/>
    </row>
    <row r="4" spans="1:9" x14ac:dyDescent="0.2">
      <c r="A4" s="16" t="s">
        <v>20</v>
      </c>
      <c r="B4" s="16"/>
      <c r="C4" s="16"/>
      <c r="D4" s="16"/>
      <c r="E4" s="16"/>
      <c r="F4" s="16"/>
      <c r="G4" s="16"/>
      <c r="H4" s="13"/>
      <c r="I4" s="17" t="s">
        <v>37</v>
      </c>
    </row>
    <row r="5" spans="1:9" x14ac:dyDescent="0.2">
      <c r="A5" s="16" t="s">
        <v>15</v>
      </c>
      <c r="B5" s="16"/>
      <c r="C5" s="16"/>
      <c r="D5" s="16"/>
      <c r="E5" s="16"/>
      <c r="F5" s="16"/>
      <c r="G5" s="16"/>
      <c r="H5" s="13"/>
      <c r="I5" s="17" t="s">
        <v>38</v>
      </c>
    </row>
    <row r="6" spans="1:9" x14ac:dyDescent="0.2">
      <c r="A6" s="16" t="s">
        <v>29</v>
      </c>
      <c r="B6" s="16"/>
      <c r="C6" s="16"/>
      <c r="D6" s="16"/>
      <c r="E6" s="16"/>
      <c r="F6" s="16"/>
      <c r="G6" s="16"/>
      <c r="H6" s="13"/>
      <c r="I6" s="17" t="s">
        <v>39</v>
      </c>
    </row>
    <row r="7" spans="1:9" x14ac:dyDescent="0.2">
      <c r="A7" s="18" t="s">
        <v>35</v>
      </c>
      <c r="B7" s="19"/>
      <c r="C7" s="19"/>
      <c r="D7" s="19"/>
      <c r="E7" s="19"/>
      <c r="F7" s="19"/>
      <c r="G7" s="19"/>
      <c r="H7" s="13"/>
      <c r="I7" s="17"/>
    </row>
    <row r="8" spans="1:9" x14ac:dyDescent="0.2">
      <c r="A8" s="4" t="s">
        <v>42</v>
      </c>
      <c r="B8" s="16"/>
      <c r="C8" s="16"/>
      <c r="D8" s="16"/>
      <c r="E8" s="16"/>
      <c r="F8" s="16"/>
      <c r="G8" s="16"/>
      <c r="H8" s="13"/>
      <c r="I8" s="17" t="s">
        <v>31</v>
      </c>
    </row>
    <row r="9" spans="1:9" x14ac:dyDescent="0.2">
      <c r="A9" s="4" t="s">
        <v>54</v>
      </c>
      <c r="B9" s="16"/>
      <c r="C9" s="16"/>
      <c r="D9" s="16"/>
      <c r="E9" s="16"/>
      <c r="F9" s="16"/>
      <c r="G9" s="16"/>
      <c r="H9" s="13"/>
      <c r="I9" s="17" t="s">
        <v>31</v>
      </c>
    </row>
    <row r="10" spans="1:9" x14ac:dyDescent="0.2">
      <c r="A10" s="4" t="s">
        <v>55</v>
      </c>
      <c r="B10" s="16"/>
      <c r="C10" s="16"/>
      <c r="D10" s="19"/>
      <c r="E10" s="16"/>
      <c r="F10" s="16"/>
      <c r="G10" s="19"/>
      <c r="H10" s="13"/>
      <c r="I10" s="17" t="s">
        <v>32</v>
      </c>
    </row>
    <row r="11" spans="1:9" s="13" customFormat="1" x14ac:dyDescent="0.2">
      <c r="A11" s="16" t="s">
        <v>56</v>
      </c>
      <c r="B11" s="16"/>
      <c r="C11" s="16"/>
      <c r="D11" s="16"/>
      <c r="E11" s="16"/>
      <c r="F11" s="16"/>
      <c r="G11" s="16"/>
      <c r="I11" s="17" t="s">
        <v>31</v>
      </c>
    </row>
    <row r="12" spans="1:9" x14ac:dyDescent="0.2">
      <c r="A12" s="31" t="s">
        <v>40</v>
      </c>
      <c r="B12" s="16"/>
      <c r="C12" s="19"/>
      <c r="D12" s="16"/>
      <c r="E12" s="16"/>
      <c r="F12" s="19"/>
      <c r="G12" s="16"/>
      <c r="H12" s="13"/>
      <c r="I12" s="22" t="s">
        <v>41</v>
      </c>
    </row>
    <row r="13" spans="1:9" x14ac:dyDescent="0.2">
      <c r="A13" s="67" t="s">
        <v>30</v>
      </c>
      <c r="B13" s="68"/>
      <c r="C13" s="69"/>
      <c r="D13" s="69"/>
      <c r="E13" s="68"/>
      <c r="F13" s="69"/>
      <c r="G13" s="69"/>
      <c r="H13" s="13"/>
      <c r="I13" s="17" t="s">
        <v>33</v>
      </c>
    </row>
    <row r="14" spans="1:9" x14ac:dyDescent="0.2">
      <c r="A14" s="31" t="s">
        <v>60</v>
      </c>
      <c r="B14" s="7"/>
      <c r="C14" s="50"/>
      <c r="D14" s="50"/>
      <c r="E14" s="7"/>
      <c r="F14" s="50"/>
      <c r="G14" s="50"/>
      <c r="I14" s="22" t="s">
        <v>61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4"/>
  <sheetViews>
    <sheetView workbookViewId="0" xr3:uid="{842E5F09-E766-5B8D-85AF-A39847EA96FD}">
      <selection activeCell="E2" sqref="E2"/>
    </sheetView>
  </sheetViews>
  <sheetFormatPr defaultColWidth="9.14453125" defaultRowHeight="15" x14ac:dyDescent="0.2"/>
  <cols>
    <col min="1" max="1" width="34.97265625" style="25" customWidth="1"/>
    <col min="2" max="2" width="12.64453125" style="25" customWidth="1"/>
    <col min="3" max="3" width="11.703125" style="25" customWidth="1"/>
    <col min="4" max="4" width="10.76171875" style="25" customWidth="1"/>
    <col min="5" max="5" width="12.23828125" style="25" customWidth="1"/>
    <col min="6" max="16384" width="9.14453125" style="25"/>
  </cols>
  <sheetData>
    <row r="1" spans="1:9" ht="28.5" thickBot="1" x14ac:dyDescent="0.25">
      <c r="A1" s="24" t="s">
        <v>59</v>
      </c>
      <c r="B1" s="24" t="s">
        <v>23</v>
      </c>
      <c r="C1" s="24" t="s">
        <v>24</v>
      </c>
      <c r="D1" s="24" t="s">
        <v>25</v>
      </c>
      <c r="E1" s="78" t="s">
        <v>26</v>
      </c>
      <c r="F1" s="78" t="s">
        <v>27</v>
      </c>
      <c r="G1" s="24" t="s">
        <v>28</v>
      </c>
      <c r="I1" s="3" t="s">
        <v>36</v>
      </c>
    </row>
    <row r="2" spans="1:9" ht="15.75" thickBot="1" x14ac:dyDescent="0.25">
      <c r="A2" s="26" t="s">
        <v>71</v>
      </c>
      <c r="B2" s="24"/>
      <c r="C2" s="24"/>
      <c r="D2" s="76"/>
      <c r="E2" s="80">
        <f>'Master Tracker'!C82</f>
        <v>43553.25</v>
      </c>
      <c r="F2" s="81">
        <f>'Master Tracker'!B82</f>
        <v>895.2</v>
      </c>
      <c r="G2" s="77"/>
      <c r="I2" s="3"/>
    </row>
    <row r="3" spans="1:9" x14ac:dyDescent="0.2">
      <c r="A3" s="26" t="s">
        <v>34</v>
      </c>
      <c r="B3" s="24"/>
      <c r="C3" s="24"/>
      <c r="D3" s="24"/>
      <c r="E3" s="79"/>
      <c r="F3" s="79"/>
      <c r="G3" s="24"/>
    </row>
    <row r="4" spans="1:9" x14ac:dyDescent="0.2">
      <c r="A4" s="27" t="s">
        <v>20</v>
      </c>
      <c r="B4" s="9">
        <f>'Master Tracker'!C19</f>
        <v>43188</v>
      </c>
      <c r="C4" s="7">
        <f>'Master Tracker'!B19</f>
        <v>795.2</v>
      </c>
      <c r="D4" s="47">
        <f>'Master Tracker'!E19</f>
        <v>0</v>
      </c>
      <c r="E4" s="9">
        <f>'Master Tracker'!C20</f>
        <v>43555</v>
      </c>
      <c r="F4" s="7">
        <f>'Master Tracker'!B20</f>
        <v>895.2</v>
      </c>
      <c r="G4" s="47">
        <f>'Master Tracker'!E20</f>
        <v>500</v>
      </c>
      <c r="I4" s="28" t="s">
        <v>37</v>
      </c>
    </row>
    <row r="5" spans="1:9" x14ac:dyDescent="0.2">
      <c r="A5" s="27" t="s">
        <v>15</v>
      </c>
      <c r="B5" s="9">
        <f>'Master Tracker'!C24</f>
        <v>43188</v>
      </c>
      <c r="C5" s="7">
        <f>'Master Tracker'!B24</f>
        <v>795.2</v>
      </c>
      <c r="D5" s="47">
        <f>'Master Tracker'!E24</f>
        <v>0</v>
      </c>
      <c r="E5" s="9">
        <f>'Master Tracker'!C25</f>
        <v>46110</v>
      </c>
      <c r="F5" s="7">
        <f>'Master Tracker'!B25</f>
        <v>1295.2</v>
      </c>
      <c r="G5" s="47">
        <f>'Master Tracker'!E25</f>
        <v>3000</v>
      </c>
      <c r="I5" s="28" t="s">
        <v>38</v>
      </c>
    </row>
    <row r="6" spans="1:9" x14ac:dyDescent="0.2">
      <c r="A6" s="27" t="s">
        <v>29</v>
      </c>
      <c r="B6" s="9">
        <f>'Master Tracker'!C29</f>
        <v>43188</v>
      </c>
      <c r="C6" s="7">
        <f>'Master Tracker'!B29</f>
        <v>795.2</v>
      </c>
      <c r="D6" s="47">
        <f>'Master Tracker'!E29</f>
        <v>0</v>
      </c>
      <c r="E6" s="9">
        <f>'Master Tracker'!C30</f>
        <v>49032</v>
      </c>
      <c r="F6" s="7">
        <f>'Master Tracker'!B30</f>
        <v>1795.2</v>
      </c>
      <c r="G6" s="47">
        <f>'Master Tracker'!E30</f>
        <v>5000</v>
      </c>
      <c r="I6" s="28" t="s">
        <v>39</v>
      </c>
    </row>
    <row r="7" spans="1:9" x14ac:dyDescent="0.2">
      <c r="A7" s="29" t="s">
        <v>35</v>
      </c>
      <c r="B7" s="30"/>
      <c r="C7" s="30"/>
      <c r="D7" s="30"/>
      <c r="E7" s="30"/>
      <c r="F7" s="30"/>
      <c r="G7" s="30"/>
      <c r="I7" s="28"/>
    </row>
    <row r="8" spans="1:9" x14ac:dyDescent="0.2">
      <c r="A8" s="20" t="s">
        <v>42</v>
      </c>
      <c r="B8" s="9">
        <f>'Master Tracker'!C34</f>
        <v>42658</v>
      </c>
      <c r="C8" s="7">
        <f>'Master Tracker'!B34</f>
        <v>748.5</v>
      </c>
      <c r="D8" s="47">
        <f>'Master Tracker'!E34</f>
        <v>0</v>
      </c>
      <c r="E8" s="9">
        <f>'Master Tracker'!C35</f>
        <v>48502</v>
      </c>
      <c r="F8" s="7">
        <f>'Master Tracker'!B35</f>
        <v>2748.5</v>
      </c>
      <c r="G8" s="47">
        <f>'Master Tracker'!E35</f>
        <v>10000</v>
      </c>
      <c r="I8" s="28" t="s">
        <v>31</v>
      </c>
    </row>
    <row r="9" spans="1:9" x14ac:dyDescent="0.2">
      <c r="A9" s="20" t="s">
        <v>54</v>
      </c>
      <c r="B9" s="9">
        <f>'Master Tracker'!C39</f>
        <v>42658</v>
      </c>
      <c r="C9" s="7">
        <f>'Master Tracker'!B39</f>
        <v>748.5</v>
      </c>
      <c r="D9" s="47">
        <f>'Master Tracker'!E39</f>
        <v>0</v>
      </c>
      <c r="E9" s="9">
        <f>'Master Tracker'!C40</f>
        <v>48502</v>
      </c>
      <c r="F9" s="7">
        <f>'Master Tracker'!B40</f>
        <v>2748.5</v>
      </c>
      <c r="G9" s="47">
        <f>'Master Tracker'!E40</f>
        <v>10000</v>
      </c>
      <c r="I9" s="28" t="s">
        <v>31</v>
      </c>
    </row>
    <row r="10" spans="1:9" x14ac:dyDescent="0.2">
      <c r="A10" s="20" t="s">
        <v>55</v>
      </c>
      <c r="B10" s="9">
        <f>'Master Tracker'!C44</f>
        <v>42658</v>
      </c>
      <c r="C10" s="7">
        <f>'Master Tracker'!B44</f>
        <v>748.5</v>
      </c>
      <c r="D10" s="47">
        <f>'Master Tracker'!E44</f>
        <v>0</v>
      </c>
      <c r="E10" s="9">
        <f>'Master Tracker'!C45</f>
        <v>48502</v>
      </c>
      <c r="F10" s="7">
        <f>'Master Tracker'!B45</f>
        <v>4748.5</v>
      </c>
      <c r="G10" s="47">
        <f>'Master Tracker'!E45</f>
        <v>20000</v>
      </c>
      <c r="I10" s="28" t="s">
        <v>32</v>
      </c>
    </row>
    <row r="11" spans="1:9" x14ac:dyDescent="0.2">
      <c r="A11" s="4" t="s">
        <v>56</v>
      </c>
      <c r="B11" s="48">
        <f>'Master Tracker'!C49</f>
        <v>42658</v>
      </c>
      <c r="C11" s="27">
        <f>'Master Tracker'!B49</f>
        <v>748.5</v>
      </c>
      <c r="D11" s="49">
        <f>'Master Tracker'!E49</f>
        <v>0</v>
      </c>
      <c r="E11" s="48">
        <f>'Master Tracker'!C50</f>
        <v>48502</v>
      </c>
      <c r="F11" s="27">
        <f>'Master Tracker'!B50</f>
        <v>2748.5</v>
      </c>
      <c r="G11" s="49">
        <f>'Master Tracker'!E50</f>
        <v>10000</v>
      </c>
      <c r="I11" s="28" t="s">
        <v>31</v>
      </c>
    </row>
    <row r="12" spans="1:9" x14ac:dyDescent="0.2">
      <c r="A12" s="21" t="s">
        <v>40</v>
      </c>
      <c r="B12" s="9">
        <f>'Master Tracker'!C54</f>
        <v>42658</v>
      </c>
      <c r="C12" s="50"/>
      <c r="D12" s="47">
        <f>'Master Tracker'!E54</f>
        <v>0</v>
      </c>
      <c r="E12" s="9">
        <f>'Master Tracker'!C55</f>
        <v>44119</v>
      </c>
      <c r="F12" s="50"/>
      <c r="G12" s="47">
        <f>'Master Tracker'!E55</f>
        <v>2000</v>
      </c>
      <c r="I12" s="32" t="s">
        <v>41</v>
      </c>
    </row>
    <row r="13" spans="1:9" x14ac:dyDescent="0.2">
      <c r="A13" s="23" t="s">
        <v>30</v>
      </c>
      <c r="B13" s="9">
        <f>'Master Tracker'!C59</f>
        <v>0</v>
      </c>
      <c r="C13" s="50"/>
      <c r="D13" s="51"/>
      <c r="E13" s="9" t="str">
        <f>'Master Tracker'!C60</f>
        <v>NA different manufacturer</v>
      </c>
      <c r="F13" s="50"/>
      <c r="G13" s="51"/>
      <c r="I13" s="28" t="s">
        <v>33</v>
      </c>
    </row>
    <row r="14" spans="1:9" s="5" customFormat="1" x14ac:dyDescent="0.2">
      <c r="A14" s="31" t="s">
        <v>60</v>
      </c>
      <c r="B14" s="7"/>
      <c r="C14" s="50"/>
      <c r="D14" s="50"/>
      <c r="E14" s="9">
        <f>'Master Tracker'!C17</f>
        <v>44316</v>
      </c>
      <c r="F14" s="50"/>
      <c r="G14" s="50"/>
      <c r="I14" s="22" t="s">
        <v>61</v>
      </c>
    </row>
  </sheetData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 xr3:uid="{51F8DEE0-4D01-5F28-A812-FC0BD7CAC4A5}">
      <selection activeCell="E2" sqref="E2:F2"/>
    </sheetView>
  </sheetViews>
  <sheetFormatPr defaultColWidth="9.14453125" defaultRowHeight="15" x14ac:dyDescent="0.2"/>
  <cols>
    <col min="1" max="1" width="30.66796875" style="25" customWidth="1"/>
    <col min="2" max="2" width="12.64453125" style="25" customWidth="1"/>
    <col min="3" max="3" width="11.703125" style="25" customWidth="1"/>
    <col min="4" max="4" width="10.76171875" style="25" customWidth="1"/>
    <col min="5" max="5" width="12.23828125" style="25" customWidth="1"/>
    <col min="6" max="16384" width="9.14453125" style="25"/>
  </cols>
  <sheetData>
    <row r="1" spans="1:9" ht="28.5" thickBot="1" x14ac:dyDescent="0.25">
      <c r="A1" s="24" t="s">
        <v>57</v>
      </c>
      <c r="B1" s="24" t="s">
        <v>23</v>
      </c>
      <c r="C1" s="24" t="s">
        <v>24</v>
      </c>
      <c r="D1" s="24" t="s">
        <v>25</v>
      </c>
      <c r="E1" s="78" t="s">
        <v>26</v>
      </c>
      <c r="F1" s="78" t="s">
        <v>27</v>
      </c>
      <c r="G1" s="24" t="s">
        <v>28</v>
      </c>
      <c r="I1" s="3" t="s">
        <v>36</v>
      </c>
    </row>
    <row r="2" spans="1:9" ht="15.75" thickBot="1" x14ac:dyDescent="0.25">
      <c r="A2" s="26" t="s">
        <v>71</v>
      </c>
      <c r="B2" s="24"/>
      <c r="C2" s="24"/>
      <c r="D2" s="76"/>
      <c r="E2" s="80">
        <f>'Master Tracker'!G82</f>
        <v>43465</v>
      </c>
      <c r="F2" s="81">
        <f>'Master Tracker'!F82</f>
        <v>3073</v>
      </c>
      <c r="G2" s="77"/>
      <c r="I2" s="3"/>
    </row>
    <row r="3" spans="1:9" x14ac:dyDescent="0.2">
      <c r="A3" s="26" t="s">
        <v>34</v>
      </c>
      <c r="B3" s="24"/>
      <c r="C3" s="24"/>
      <c r="D3" s="24"/>
      <c r="E3" s="79"/>
      <c r="F3" s="79"/>
      <c r="G3" s="24"/>
    </row>
    <row r="4" spans="1:9" x14ac:dyDescent="0.2">
      <c r="A4" s="27" t="s">
        <v>20</v>
      </c>
      <c r="B4" s="9">
        <f>'Master Tracker'!G19</f>
        <v>43156</v>
      </c>
      <c r="C4" s="7">
        <f>'Master Tracker'!F19</f>
        <v>2973</v>
      </c>
      <c r="D4" s="47">
        <f>'Master Tracker'!I19</f>
        <v>0</v>
      </c>
      <c r="E4" s="9">
        <f>'Master Tracker'!G20</f>
        <v>43524</v>
      </c>
      <c r="F4" s="7">
        <f>'Master Tracker'!F20</f>
        <v>3073</v>
      </c>
      <c r="G4" s="47">
        <f>'Master Tracker'!I20</f>
        <v>500</v>
      </c>
      <c r="I4" s="28" t="s">
        <v>37</v>
      </c>
    </row>
    <row r="5" spans="1:9" x14ac:dyDescent="0.2">
      <c r="A5" s="27" t="s">
        <v>15</v>
      </c>
      <c r="B5" s="9">
        <f>'Master Tracker'!G24</f>
        <v>43156</v>
      </c>
      <c r="C5" s="7">
        <f>'Master Tracker'!F24</f>
        <v>2973</v>
      </c>
      <c r="D5" s="47">
        <f>'Master Tracker'!I24</f>
        <v>0</v>
      </c>
      <c r="E5" s="9">
        <f>'Master Tracker'!G25</f>
        <v>46078</v>
      </c>
      <c r="F5" s="7">
        <f>'Master Tracker'!F25</f>
        <v>3473</v>
      </c>
      <c r="G5" s="47">
        <f>'Master Tracker'!I25</f>
        <v>3000</v>
      </c>
      <c r="I5" s="28" t="s">
        <v>38</v>
      </c>
    </row>
    <row r="6" spans="1:9" x14ac:dyDescent="0.2">
      <c r="A6" s="27" t="s">
        <v>29</v>
      </c>
      <c r="B6" s="9">
        <f>'Master Tracker'!G29</f>
        <v>43156</v>
      </c>
      <c r="C6" s="7">
        <f>'Master Tracker'!F29</f>
        <v>2973</v>
      </c>
      <c r="D6" s="47">
        <f>'Master Tracker'!I29</f>
        <v>0</v>
      </c>
      <c r="E6" s="9">
        <f>'Master Tracker'!G30</f>
        <v>49000</v>
      </c>
      <c r="F6" s="7">
        <f>'Master Tracker'!F30</f>
        <v>3973</v>
      </c>
      <c r="G6" s="47">
        <f>'Master Tracker'!I30</f>
        <v>5000</v>
      </c>
      <c r="I6" s="28" t="s">
        <v>39</v>
      </c>
    </row>
    <row r="7" spans="1:9" x14ac:dyDescent="0.2">
      <c r="A7" s="29" t="s">
        <v>35</v>
      </c>
      <c r="B7" s="30"/>
      <c r="C7" s="30"/>
      <c r="D7" s="30"/>
      <c r="E7" s="30"/>
      <c r="F7" s="30"/>
      <c r="G7" s="30"/>
      <c r="I7" s="28"/>
    </row>
    <row r="8" spans="1:9" x14ac:dyDescent="0.2">
      <c r="A8" s="20" t="s">
        <v>42</v>
      </c>
      <c r="B8" s="9">
        <f>'Master Tracker'!G34</f>
        <v>40515</v>
      </c>
      <c r="C8" s="7">
        <f>'Master Tracker'!F34</f>
        <v>2075.8000000000002</v>
      </c>
      <c r="D8" s="47">
        <f>'Master Tracker'!I34</f>
        <v>0</v>
      </c>
      <c r="E8" s="9">
        <f>'Master Tracker'!G35</f>
        <v>46359</v>
      </c>
      <c r="F8" s="7">
        <f>'Master Tracker'!F35</f>
        <v>4075.8</v>
      </c>
      <c r="G8" s="47">
        <f>'Master Tracker'!I35</f>
        <v>10000</v>
      </c>
      <c r="I8" s="28" t="s">
        <v>31</v>
      </c>
    </row>
    <row r="9" spans="1:9" x14ac:dyDescent="0.2">
      <c r="A9" s="20" t="s">
        <v>54</v>
      </c>
      <c r="B9" s="9">
        <f>'Master Tracker'!G39</f>
        <v>43156</v>
      </c>
      <c r="C9" s="7">
        <f>'Master Tracker'!F39</f>
        <v>2973</v>
      </c>
      <c r="D9" s="47">
        <f>'Master Tracker'!I39</f>
        <v>0</v>
      </c>
      <c r="E9" s="9">
        <f>'Master Tracker'!G40</f>
        <v>49000</v>
      </c>
      <c r="F9" s="7">
        <f>'Master Tracker'!F40</f>
        <v>4973</v>
      </c>
      <c r="G9" s="47">
        <f>'Master Tracker'!I40</f>
        <v>10000</v>
      </c>
      <c r="I9" s="28" t="s">
        <v>31</v>
      </c>
    </row>
    <row r="10" spans="1:9" x14ac:dyDescent="0.2">
      <c r="A10" s="20" t="s">
        <v>55</v>
      </c>
      <c r="B10" s="9">
        <f>'Master Tracker'!G44</f>
        <v>43308</v>
      </c>
      <c r="C10" s="7">
        <f>'Master Tracker'!F44</f>
        <v>3031</v>
      </c>
      <c r="D10" s="47">
        <f>'Master Tracker'!I44</f>
        <v>196</v>
      </c>
      <c r="E10" s="9">
        <f>'Master Tracker'!G45</f>
        <v>49152</v>
      </c>
      <c r="F10" s="7">
        <f>'Master Tracker'!F45</f>
        <v>7031</v>
      </c>
      <c r="G10" s="47">
        <f>'Master Tracker'!I45</f>
        <v>20196</v>
      </c>
      <c r="I10" s="28" t="s">
        <v>32</v>
      </c>
    </row>
    <row r="11" spans="1:9" x14ac:dyDescent="0.2">
      <c r="A11" s="4" t="s">
        <v>56</v>
      </c>
      <c r="B11" s="48" t="s">
        <v>53</v>
      </c>
      <c r="C11" s="27"/>
      <c r="D11" s="49"/>
      <c r="E11" s="48"/>
      <c r="F11" s="27"/>
      <c r="G11" s="49"/>
      <c r="I11" s="28" t="s">
        <v>31</v>
      </c>
    </row>
    <row r="12" spans="1:9" x14ac:dyDescent="0.2">
      <c r="A12" s="21" t="s">
        <v>40</v>
      </c>
      <c r="B12" s="48" t="s">
        <v>53</v>
      </c>
      <c r="C12" s="50"/>
      <c r="D12" s="47"/>
      <c r="E12" s="9"/>
      <c r="F12" s="50"/>
      <c r="G12" s="47"/>
      <c r="I12" s="32" t="s">
        <v>41</v>
      </c>
    </row>
    <row r="13" spans="1:9" x14ac:dyDescent="0.2">
      <c r="A13" s="23" t="s">
        <v>30</v>
      </c>
      <c r="B13" s="9">
        <f>'Master Tracker'!G59</f>
        <v>37438</v>
      </c>
      <c r="C13" s="50"/>
      <c r="D13" s="51"/>
      <c r="E13" s="9">
        <f>'Master Tracker'!G60</f>
        <v>41821</v>
      </c>
      <c r="F13" s="50"/>
      <c r="G13" s="51"/>
      <c r="I13" s="28" t="s">
        <v>33</v>
      </c>
    </row>
    <row r="14" spans="1:9" s="5" customFormat="1" x14ac:dyDescent="0.2">
      <c r="A14" s="31" t="s">
        <v>60</v>
      </c>
      <c r="B14" s="7"/>
      <c r="C14" s="50"/>
      <c r="D14" s="50"/>
      <c r="E14" s="9">
        <f>'Master Tracker'!G17</f>
        <v>43465</v>
      </c>
      <c r="F14" s="50"/>
      <c r="G14" s="50"/>
      <c r="I14" s="22" t="s">
        <v>61</v>
      </c>
    </row>
  </sheetData>
  <pageMargins left="0.7" right="0.7" top="0.75" bottom="0.75" header="0.3" footer="0.3"/>
  <pageSetup scale="93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4"/>
  <sheetViews>
    <sheetView workbookViewId="0" xr3:uid="{F9CF3CF3-643B-5BE6-8B46-32C596A47465}">
      <selection activeCell="A7" sqref="A7"/>
    </sheetView>
  </sheetViews>
  <sheetFormatPr defaultColWidth="9.14453125" defaultRowHeight="15" x14ac:dyDescent="0.2"/>
  <cols>
    <col min="1" max="1" width="34.97265625" style="25" customWidth="1"/>
    <col min="2" max="2" width="12.64453125" style="25" customWidth="1"/>
    <col min="3" max="3" width="11.703125" style="25" customWidth="1"/>
    <col min="4" max="4" width="10.76171875" style="25" customWidth="1"/>
    <col min="5" max="5" width="12.23828125" style="25" customWidth="1"/>
    <col min="6" max="16384" width="9.14453125" style="25"/>
  </cols>
  <sheetData>
    <row r="1" spans="1:9" ht="28.5" thickBot="1" x14ac:dyDescent="0.25">
      <c r="A1" s="24" t="s">
        <v>58</v>
      </c>
      <c r="B1" s="24" t="s">
        <v>23</v>
      </c>
      <c r="C1" s="24" t="s">
        <v>24</v>
      </c>
      <c r="D1" s="24" t="s">
        <v>25</v>
      </c>
      <c r="E1" s="78" t="s">
        <v>26</v>
      </c>
      <c r="F1" s="78" t="s">
        <v>27</v>
      </c>
      <c r="G1" s="24" t="s">
        <v>28</v>
      </c>
      <c r="I1" s="3" t="s">
        <v>36</v>
      </c>
    </row>
    <row r="2" spans="1:9" ht="15.75" thickBot="1" x14ac:dyDescent="0.25">
      <c r="A2" s="26" t="s">
        <v>71</v>
      </c>
      <c r="B2" s="24"/>
      <c r="C2" s="24"/>
      <c r="D2" s="76"/>
      <c r="E2" s="80">
        <f>'Master Tracker'!K82</f>
        <v>43566.25</v>
      </c>
      <c r="F2" s="81">
        <f>'Master Tracker'!J82</f>
        <v>100</v>
      </c>
      <c r="G2" s="77"/>
      <c r="I2" s="3"/>
    </row>
    <row r="3" spans="1:9" x14ac:dyDescent="0.2">
      <c r="A3" s="26" t="s">
        <v>34</v>
      </c>
      <c r="B3" s="24"/>
      <c r="C3" s="24"/>
      <c r="D3" s="24"/>
      <c r="E3" s="79"/>
      <c r="F3" s="79"/>
      <c r="G3" s="24"/>
    </row>
    <row r="4" spans="1:9" x14ac:dyDescent="0.2">
      <c r="A4" s="27" t="s">
        <v>20</v>
      </c>
      <c r="B4" s="9">
        <f>'Master Tracker'!K19</f>
        <v>43201</v>
      </c>
      <c r="C4" s="7">
        <f>'Master Tracker'!J19</f>
        <v>3959</v>
      </c>
      <c r="D4" s="47">
        <f>'Master Tracker'!M19</f>
        <v>0</v>
      </c>
      <c r="E4" s="9">
        <f>'Master Tracker'!K20</f>
        <v>43585</v>
      </c>
      <c r="F4" s="7">
        <f>'Master Tracker'!J20</f>
        <v>4059</v>
      </c>
      <c r="G4" s="47">
        <f>'Master Tracker'!M20</f>
        <v>500</v>
      </c>
      <c r="I4" s="28" t="s">
        <v>37</v>
      </c>
    </row>
    <row r="5" spans="1:9" x14ac:dyDescent="0.2">
      <c r="A5" s="27" t="s">
        <v>15</v>
      </c>
      <c r="B5" s="9">
        <f>'Master Tracker'!K24</f>
        <v>43201</v>
      </c>
      <c r="C5" s="7">
        <f>'Master Tracker'!J24</f>
        <v>3959</v>
      </c>
      <c r="D5" s="47">
        <f>'Master Tracker'!M24</f>
        <v>0</v>
      </c>
      <c r="E5" s="9">
        <f>'Master Tracker'!K25</f>
        <v>46123</v>
      </c>
      <c r="F5" s="7">
        <f>'Master Tracker'!J25</f>
        <v>4459</v>
      </c>
      <c r="G5" s="47">
        <f>'Master Tracker'!M25</f>
        <v>3000</v>
      </c>
      <c r="I5" s="28" t="s">
        <v>38</v>
      </c>
    </row>
    <row r="6" spans="1:9" x14ac:dyDescent="0.2">
      <c r="A6" s="27" t="s">
        <v>29</v>
      </c>
      <c r="B6" s="9">
        <f>'Master Tracker'!K29</f>
        <v>43201</v>
      </c>
      <c r="C6" s="7">
        <f>'Master Tracker'!J29</f>
        <v>3959</v>
      </c>
      <c r="D6" s="47">
        <f>'Master Tracker'!M29</f>
        <v>0</v>
      </c>
      <c r="E6" s="9">
        <f>'Master Tracker'!K30</f>
        <v>49045</v>
      </c>
      <c r="F6" s="7">
        <f>'Master Tracker'!J30</f>
        <v>4959</v>
      </c>
      <c r="G6" s="47">
        <f>'Master Tracker'!M30</f>
        <v>5000</v>
      </c>
      <c r="I6" s="28" t="s">
        <v>39</v>
      </c>
    </row>
    <row r="7" spans="1:9" x14ac:dyDescent="0.2">
      <c r="A7" s="29" t="s">
        <v>35</v>
      </c>
      <c r="B7" s="30"/>
      <c r="C7" s="30"/>
      <c r="D7" s="30"/>
      <c r="E7" s="30"/>
      <c r="F7" s="30"/>
      <c r="G7" s="30"/>
      <c r="I7" s="28"/>
    </row>
    <row r="8" spans="1:9" x14ac:dyDescent="0.2">
      <c r="A8" s="20" t="s">
        <v>42</v>
      </c>
      <c r="B8" s="9">
        <f>'Master Tracker'!K34</f>
        <v>42650</v>
      </c>
      <c r="C8" s="7">
        <f>'Master Tracker'!J34</f>
        <v>3784.9</v>
      </c>
      <c r="D8" s="47">
        <f>'Master Tracker'!M34</f>
        <v>0</v>
      </c>
      <c r="E8" s="9">
        <f>'Master Tracker'!K35</f>
        <v>48494</v>
      </c>
      <c r="F8" s="7">
        <f>'Master Tracker'!J35</f>
        <v>5784.9</v>
      </c>
      <c r="G8" s="47">
        <f>'Master Tracker'!M35</f>
        <v>10000</v>
      </c>
      <c r="I8" s="28" t="s">
        <v>31</v>
      </c>
    </row>
    <row r="9" spans="1:9" x14ac:dyDescent="0.2">
      <c r="A9" s="20" t="s">
        <v>54</v>
      </c>
      <c r="B9" s="9">
        <f>'Master Tracker'!K39</f>
        <v>43342</v>
      </c>
      <c r="C9" s="7">
        <f>'Master Tracker'!J39</f>
        <v>4003.1</v>
      </c>
      <c r="D9" s="47">
        <f>'Master Tracker'!M39</f>
        <v>160</v>
      </c>
      <c r="E9" s="9">
        <f>'Master Tracker'!K40</f>
        <v>49186</v>
      </c>
      <c r="F9" s="7">
        <f>'Master Tracker'!J40</f>
        <v>6003.1</v>
      </c>
      <c r="G9" s="47">
        <f>'Master Tracker'!M40</f>
        <v>10160</v>
      </c>
      <c r="I9" s="28" t="s">
        <v>31</v>
      </c>
    </row>
    <row r="10" spans="1:9" x14ac:dyDescent="0.2">
      <c r="A10" s="20" t="s">
        <v>55</v>
      </c>
      <c r="B10" s="9">
        <f>'Master Tracker'!K44</f>
        <v>43342</v>
      </c>
      <c r="C10" s="7">
        <f>'Master Tracker'!J44</f>
        <v>4003.1</v>
      </c>
      <c r="D10" s="47">
        <f>'Master Tracker'!M44</f>
        <v>160</v>
      </c>
      <c r="E10" s="9">
        <f>'Master Tracker'!K45</f>
        <v>49186</v>
      </c>
      <c r="F10" s="7">
        <f>'Master Tracker'!J45</f>
        <v>8003.1</v>
      </c>
      <c r="G10" s="47">
        <f>'Master Tracker'!M45</f>
        <v>20160</v>
      </c>
      <c r="I10" s="28" t="s">
        <v>32</v>
      </c>
    </row>
    <row r="11" spans="1:9" x14ac:dyDescent="0.2">
      <c r="A11" s="4" t="s">
        <v>56</v>
      </c>
      <c r="B11" s="48" t="s">
        <v>53</v>
      </c>
      <c r="C11" s="27"/>
      <c r="D11" s="49"/>
      <c r="E11" s="48"/>
      <c r="F11" s="27"/>
      <c r="G11" s="49"/>
      <c r="I11" s="28" t="s">
        <v>31</v>
      </c>
    </row>
    <row r="12" spans="1:9" x14ac:dyDescent="0.2">
      <c r="A12" s="21" t="s">
        <v>40</v>
      </c>
      <c r="B12" s="48" t="s">
        <v>53</v>
      </c>
      <c r="C12" s="50"/>
      <c r="D12" s="47"/>
      <c r="E12" s="9"/>
      <c r="F12" s="50"/>
      <c r="G12" s="47"/>
      <c r="I12" s="32" t="s">
        <v>41</v>
      </c>
    </row>
    <row r="13" spans="1:9" x14ac:dyDescent="0.2">
      <c r="A13" s="23" t="s">
        <v>30</v>
      </c>
      <c r="B13" s="9">
        <f>'Master Tracker'!K59</f>
        <v>37469</v>
      </c>
      <c r="C13" s="50"/>
      <c r="D13" s="51"/>
      <c r="E13" s="9">
        <f>'Master Tracker'!K60</f>
        <v>41852</v>
      </c>
      <c r="F13" s="50"/>
      <c r="G13" s="51"/>
      <c r="I13" s="28" t="s">
        <v>33</v>
      </c>
    </row>
    <row r="14" spans="1:9" s="5" customFormat="1" x14ac:dyDescent="0.2">
      <c r="A14" s="31" t="s">
        <v>60</v>
      </c>
      <c r="B14" s="7"/>
      <c r="C14" s="50"/>
      <c r="D14" s="50"/>
      <c r="E14" s="9">
        <f>'Master Tracker'!K17</f>
        <v>44592</v>
      </c>
      <c r="F14" s="50"/>
      <c r="G14" s="50"/>
      <c r="I14" s="22" t="s">
        <v>61</v>
      </c>
    </row>
  </sheetData>
  <pageMargins left="0.7" right="0.7" top="0.75" bottom="0.75" header="0.3" footer="0.3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workbookViewId="0" xr3:uid="{78B4E459-6924-5F8B-B7BA-2DD04133E49E}">
      <selection activeCell="D8" sqref="D8"/>
    </sheetView>
  </sheetViews>
  <sheetFormatPr defaultRowHeight="15" x14ac:dyDescent="0.2"/>
  <cols>
    <col min="2" max="2" width="11.56640625" customWidth="1"/>
    <col min="3" max="3" width="10.76171875" bestFit="1" customWidth="1"/>
    <col min="4" max="4" width="9.68359375" style="5" customWidth="1"/>
  </cols>
  <sheetData>
    <row r="1" spans="1:6" x14ac:dyDescent="0.2">
      <c r="A1" t="s">
        <v>76</v>
      </c>
      <c r="B1" t="s">
        <v>77</v>
      </c>
      <c r="C1" t="s">
        <v>78</v>
      </c>
      <c r="D1" s="5" t="s">
        <v>83</v>
      </c>
      <c r="E1" t="s">
        <v>79</v>
      </c>
      <c r="F1" t="s">
        <v>80</v>
      </c>
    </row>
    <row r="2" spans="1:6" x14ac:dyDescent="0.2">
      <c r="A2" t="s">
        <v>81</v>
      </c>
      <c r="B2" s="6">
        <v>42214</v>
      </c>
      <c r="C2" s="6">
        <v>42293</v>
      </c>
      <c r="D2" s="107">
        <f>C2-B2</f>
        <v>79</v>
      </c>
      <c r="E2" t="s">
        <v>82</v>
      </c>
    </row>
    <row r="3" spans="1:6" x14ac:dyDescent="0.2">
      <c r="A3" t="s">
        <v>85</v>
      </c>
      <c r="B3" s="6">
        <v>42589</v>
      </c>
      <c r="C3" s="6">
        <v>42658</v>
      </c>
      <c r="D3" s="107">
        <f>C3-B3</f>
        <v>69</v>
      </c>
      <c r="E3" t="s">
        <v>82</v>
      </c>
    </row>
    <row r="4" spans="1:6" x14ac:dyDescent="0.2">
      <c r="A4" t="s">
        <v>85</v>
      </c>
      <c r="B4" s="6">
        <v>42950</v>
      </c>
      <c r="C4" s="6">
        <v>42999</v>
      </c>
      <c r="D4" s="107">
        <f>C4-B4</f>
        <v>49</v>
      </c>
      <c r="E4" t="s">
        <v>82</v>
      </c>
    </row>
    <row r="5" spans="1:6" x14ac:dyDescent="0.2">
      <c r="A5" t="s">
        <v>81</v>
      </c>
      <c r="B5" s="6">
        <v>43179</v>
      </c>
      <c r="C5" s="6">
        <v>43252</v>
      </c>
      <c r="D5" s="107">
        <f>C5-B5</f>
        <v>73</v>
      </c>
      <c r="E5" t="s">
        <v>82</v>
      </c>
    </row>
    <row r="6" spans="1:6" x14ac:dyDescent="0.2">
      <c r="A6" t="s">
        <v>86</v>
      </c>
      <c r="B6" s="6">
        <v>43341</v>
      </c>
      <c r="C6" s="5"/>
      <c r="D6" s="107"/>
      <c r="E6" t="s">
        <v>87</v>
      </c>
      <c r="F6" t="s">
        <v>88</v>
      </c>
    </row>
    <row r="7" spans="1:6" x14ac:dyDescent="0.2">
      <c r="A7" t="s">
        <v>81</v>
      </c>
      <c r="B7" s="6">
        <v>43345</v>
      </c>
      <c r="C7" s="6">
        <v>43405</v>
      </c>
      <c r="D7" s="107">
        <f>C7-B7</f>
        <v>60</v>
      </c>
      <c r="E7" t="s">
        <v>82</v>
      </c>
      <c r="F7" t="s">
        <v>84</v>
      </c>
    </row>
    <row r="8" spans="1:6" x14ac:dyDescent="0.2">
      <c r="A8" t="s">
        <v>85</v>
      </c>
      <c r="B8" s="6">
        <v>43372</v>
      </c>
      <c r="C8" s="5"/>
      <c r="D8" s="107"/>
      <c r="E8" t="s">
        <v>82</v>
      </c>
    </row>
    <row r="11" spans="1:6" x14ac:dyDescent="0.2">
      <c r="C11" s="2" t="s">
        <v>89</v>
      </c>
      <c r="D11" s="2">
        <f>AVERAGE(D2:D10)</f>
        <v>66</v>
      </c>
    </row>
  </sheetData>
  <sortState xmlns:xlrd2="http://schemas.microsoft.com/office/spreadsheetml/2017/richdata2" ref="A2:F9">
    <sortCondition ref="B2:B9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12CBA206A6784AA43C2CD6243F3FA3" ma:contentTypeVersion="2" ma:contentTypeDescription="Create a new document." ma:contentTypeScope="" ma:versionID="a090f870ebef597d820f219075821033">
  <xsd:schema xmlns:xsd="http://www.w3.org/2001/XMLSchema" xmlns:xs="http://www.w3.org/2001/XMLSchema" xmlns:p="http://schemas.microsoft.com/office/2006/metadata/properties" xmlns:ns2="bc31a9c0-6b75-4738-a485-79985996cbf7" targetNamespace="http://schemas.microsoft.com/office/2006/metadata/properties" ma:root="true" ma:fieldsID="fae25a4cba35828cd584971f20215ba4" ns2:_="">
    <xsd:import namespace="bc31a9c0-6b75-4738-a485-79985996cb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31a9c0-6b75-4738-a485-79985996c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8777E9-0387-4E89-8566-89ECA5C1F99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bc31a9c0-6b75-4738-a485-79985996cbf7"/>
  </ds:schemaRefs>
</ds:datastoreItem>
</file>

<file path=customXml/itemProps2.xml><?xml version="1.0" encoding="utf-8"?>
<ds:datastoreItem xmlns:ds="http://schemas.openxmlformats.org/officeDocument/2006/customXml" ds:itemID="{662619B4-4DCB-4B09-A16E-25858A8BBB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28C866-7745-41C8-B979-768D27F76EAE}">
  <ds:schemaRefs>
    <ds:schemaRef ds:uri="http://schemas.microsoft.com/office/2006/metadata/propertie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Master Tracker</vt:lpstr>
      <vt:lpstr>Sample</vt:lpstr>
      <vt:lpstr>N358BA</vt:lpstr>
      <vt:lpstr>N427BA</vt:lpstr>
      <vt:lpstr>N430BA</vt:lpstr>
      <vt:lpstr>Annual Duration</vt:lpstr>
      <vt:lpstr>N358BA!Print_Area</vt:lpstr>
      <vt:lpstr>N427BA!Print_Area</vt:lpstr>
      <vt:lpstr>N430BA!Print_Area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Charlie</cp:lastModifiedBy>
  <cp:lastPrinted>2018-09-02T00:34:51Z</cp:lastPrinted>
  <dcterms:created xsi:type="dcterms:W3CDTF">2018-06-01T23:44:52Z</dcterms:created>
  <dcterms:modified xsi:type="dcterms:W3CDTF">2018-12-24T01:59:54Z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0x010100B912CBA206A6784AA43C2CD6243F3FA3</vt:lpwstr>
  </property>
</Properties>
</file>